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xr:revisionPtr revIDLastSave="0" documentId="13_ncr:1_{074CB8C0-51EA-4B13-81B2-B6E0902B9C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سهمیه" sheetId="1" r:id="rId1"/>
    <sheet name="تعداد شعب" sheetId="4" r:id="rId2"/>
    <sheet name="برند" sheetId="2" r:id="rId3"/>
  </sheets>
  <definedNames>
    <definedName name="_xlnm.Print_Area" localSheetId="1">'تعداد شعب'!$A$1:$AG$35</definedName>
    <definedName name="_xlnm.Print_Area" localSheetId="0">سهمیه!$A$1:$AE$35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I33" i="4"/>
  <c r="I31" i="4"/>
  <c r="I30" i="4"/>
  <c r="I29" i="4"/>
  <c r="I28" i="4"/>
  <c r="I25" i="4"/>
  <c r="I23" i="4"/>
  <c r="I22" i="4"/>
  <c r="I21" i="4"/>
  <c r="I18" i="4"/>
  <c r="I17" i="4"/>
  <c r="I14" i="4"/>
  <c r="I11" i="4"/>
  <c r="I9" i="4"/>
  <c r="I8" i="4"/>
  <c r="I7" i="4"/>
  <c r="I6" i="4"/>
  <c r="C11" i="4"/>
  <c r="C8" i="4"/>
  <c r="N24" i="4"/>
  <c r="N11" i="4"/>
  <c r="N8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E30" i="4"/>
  <c r="E14" i="4"/>
  <c r="E11" i="4"/>
  <c r="E7" i="4"/>
  <c r="E4" i="4"/>
  <c r="G11" i="4"/>
  <c r="D33" i="4"/>
  <c r="D30" i="4"/>
  <c r="D29" i="4"/>
  <c r="D28" i="4"/>
  <c r="D25" i="4"/>
  <c r="D23" i="4"/>
  <c r="D21" i="4"/>
  <c r="D20" i="4"/>
  <c r="D17" i="4"/>
  <c r="D16" i="4"/>
  <c r="D15" i="4"/>
  <c r="D14" i="4"/>
  <c r="D13" i="4"/>
  <c r="D11" i="4"/>
  <c r="D8" i="4"/>
  <c r="D7" i="4"/>
  <c r="D5" i="4"/>
  <c r="D4" i="4"/>
  <c r="AF8" i="4"/>
  <c r="AF11" i="4"/>
  <c r="AE21" i="4"/>
  <c r="AE18" i="4"/>
  <c r="AE11" i="4"/>
  <c r="AE8" i="4"/>
  <c r="AD10" i="4"/>
  <c r="AC7" i="4"/>
  <c r="AB18" i="4"/>
  <c r="AB14" i="4"/>
  <c r="AB11" i="4"/>
  <c r="AB8" i="4"/>
  <c r="AB4" i="4"/>
  <c r="AA7" i="4"/>
  <c r="Z14" i="4"/>
  <c r="Y30" i="4"/>
  <c r="X32" i="4"/>
  <c r="X20" i="4"/>
  <c r="W16" i="4"/>
  <c r="V14" i="4"/>
  <c r="U11" i="4"/>
  <c r="U8" i="4"/>
  <c r="T10" i="4"/>
  <c r="S32" i="4"/>
  <c r="S31" i="4"/>
  <c r="S30" i="4"/>
  <c r="S29" i="4"/>
  <c r="S24" i="4"/>
  <c r="S23" i="4"/>
  <c r="S16" i="4"/>
  <c r="S11" i="4"/>
  <c r="S8" i="4"/>
  <c r="S5" i="4"/>
  <c r="S4" i="4"/>
  <c r="R34" i="4"/>
  <c r="R33" i="4"/>
  <c r="R32" i="4"/>
  <c r="R31" i="4"/>
  <c r="R30" i="4"/>
  <c r="R28" i="4"/>
  <c r="R27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Q34" i="4"/>
  <c r="Q22" i="4"/>
  <c r="Q21" i="4"/>
  <c r="Q20" i="4"/>
  <c r="Q14" i="4"/>
  <c r="Q11" i="4"/>
  <c r="Q8" i="4"/>
  <c r="Q7" i="4"/>
  <c r="Q5" i="4"/>
  <c r="P11" i="4"/>
  <c r="P28" i="4"/>
  <c r="O34" i="4"/>
  <c r="O33" i="4"/>
  <c r="O30" i="4"/>
  <c r="O27" i="4"/>
  <c r="O24" i="4"/>
  <c r="O22" i="4"/>
  <c r="O18" i="4"/>
  <c r="O15" i="4"/>
  <c r="O14" i="4"/>
  <c r="O11" i="4"/>
  <c r="O8" i="4"/>
  <c r="O7" i="4"/>
  <c r="O4" i="4"/>
  <c r="L33" i="4"/>
  <c r="L31" i="4"/>
  <c r="L30" i="4"/>
  <c r="L29" i="4"/>
  <c r="L28" i="4"/>
  <c r="L27" i="4"/>
  <c r="L26" i="4"/>
  <c r="L25" i="4"/>
  <c r="L24" i="4"/>
  <c r="L23" i="4"/>
  <c r="L22" i="4"/>
  <c r="L21" i="4"/>
  <c r="L20" i="4"/>
  <c r="L18" i="4"/>
  <c r="L17" i="4"/>
  <c r="L14" i="4"/>
  <c r="L12" i="4"/>
  <c r="L11" i="4"/>
  <c r="L10" i="4"/>
  <c r="L8" i="4"/>
  <c r="L7" i="4"/>
  <c r="L6" i="4"/>
  <c r="L5" i="4"/>
  <c r="L4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AG26" i="4"/>
  <c r="J5" i="4"/>
  <c r="J4" i="4"/>
  <c r="H5" i="4"/>
  <c r="H4" i="4"/>
  <c r="F6" i="4"/>
  <c r="B35" i="4"/>
  <c r="AE35" i="4"/>
  <c r="AF35" i="4" l="1"/>
  <c r="AG29" i="4"/>
  <c r="AE29" i="1" s="1"/>
  <c r="AG34" i="4"/>
  <c r="AG17" i="4"/>
  <c r="AG16" i="4"/>
  <c r="AE26" i="1"/>
  <c r="AF26" i="1"/>
  <c r="AG32" i="4"/>
  <c r="AG30" i="4"/>
  <c r="AG33" i="4"/>
  <c r="AG31" i="4"/>
  <c r="AG28" i="4"/>
  <c r="AG27" i="4"/>
  <c r="AG25" i="4"/>
  <c r="AG24" i="4"/>
  <c r="AG23" i="4"/>
  <c r="AG22" i="4"/>
  <c r="AG21" i="4"/>
  <c r="AG20" i="4"/>
  <c r="AG19" i="4"/>
  <c r="AG18" i="4"/>
  <c r="AG15" i="4"/>
  <c r="AG14" i="4"/>
  <c r="AG13" i="4"/>
  <c r="AG12" i="4"/>
  <c r="AG11" i="4"/>
  <c r="AG10" i="4"/>
  <c r="AG9" i="4"/>
  <c r="AG8" i="4"/>
  <c r="AG7" i="4"/>
  <c r="AG6" i="4"/>
  <c r="AF29" i="1" l="1"/>
  <c r="AE10" i="1"/>
  <c r="AF10" i="1"/>
  <c r="AE22" i="1"/>
  <c r="AF22" i="1"/>
  <c r="AE7" i="1"/>
  <c r="AF7" i="1"/>
  <c r="AE15" i="1"/>
  <c r="AF15" i="1"/>
  <c r="AE23" i="1"/>
  <c r="AF23" i="1"/>
  <c r="AE33" i="1"/>
  <c r="AF33" i="1"/>
  <c r="AE14" i="1"/>
  <c r="AF14" i="1"/>
  <c r="AE27" i="1"/>
  <c r="AF27" i="1"/>
  <c r="AE11" i="1"/>
  <c r="AF11" i="1"/>
  <c r="AE19" i="1"/>
  <c r="AF19" i="1"/>
  <c r="AF28" i="1"/>
  <c r="AE28" i="1"/>
  <c r="AF8" i="1"/>
  <c r="AE8" i="1"/>
  <c r="AF12" i="1"/>
  <c r="AE12" i="1"/>
  <c r="AF20" i="1"/>
  <c r="AE20" i="1"/>
  <c r="AF24" i="1"/>
  <c r="AE24" i="1"/>
  <c r="AE18" i="1"/>
  <c r="AF18" i="1"/>
  <c r="AE21" i="1"/>
  <c r="AF21" i="1"/>
  <c r="AE25" i="1"/>
  <c r="AF25" i="1"/>
  <c r="AE31" i="1"/>
  <c r="AF31" i="1"/>
  <c r="AF32" i="1"/>
  <c r="AE32" i="1"/>
  <c r="AF16" i="1"/>
  <c r="AE16" i="1"/>
  <c r="AE30" i="1"/>
  <c r="AF30" i="1"/>
  <c r="AE17" i="1"/>
  <c r="AF17" i="1"/>
  <c r="AE9" i="1"/>
  <c r="AF9" i="1"/>
  <c r="AE13" i="1"/>
  <c r="AF13" i="1"/>
  <c r="AE34" i="1"/>
  <c r="AF34" i="1"/>
  <c r="AE6" i="1"/>
  <c r="AF6" i="1"/>
  <c r="J35" i="4"/>
  <c r="AG4" i="4" l="1"/>
  <c r="AG5" i="4"/>
  <c r="S6" i="1"/>
  <c r="F8" i="1"/>
  <c r="AA10" i="1"/>
  <c r="O13" i="1"/>
  <c r="V14" i="1"/>
  <c r="AC15" i="1"/>
  <c r="R16" i="1"/>
  <c r="K17" i="1"/>
  <c r="O18" i="1"/>
  <c r="AD19" i="1"/>
  <c r="V20" i="1"/>
  <c r="F21" i="1"/>
  <c r="F22" i="1"/>
  <c r="V24" i="1"/>
  <c r="L25" i="1"/>
  <c r="X28" i="1"/>
  <c r="G29" i="1"/>
  <c r="E32" i="1"/>
  <c r="G33" i="1"/>
  <c r="U34" i="1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I35" i="4"/>
  <c r="H35" i="4"/>
  <c r="G35" i="4"/>
  <c r="F35" i="4"/>
  <c r="E35" i="4"/>
  <c r="U11" i="1"/>
  <c r="AE5" i="1" l="1"/>
  <c r="AF5" i="1"/>
  <c r="AE4" i="1"/>
  <c r="AF4" i="1"/>
  <c r="AA9" i="1"/>
  <c r="D9" i="1"/>
  <c r="D4" i="1"/>
  <c r="J5" i="1"/>
  <c r="J9" i="1"/>
  <c r="J13" i="1"/>
  <c r="J17" i="1"/>
  <c r="J21" i="1"/>
  <c r="J25" i="1"/>
  <c r="J29" i="1"/>
  <c r="J33" i="1"/>
  <c r="J6" i="1"/>
  <c r="J10" i="1"/>
  <c r="J14" i="1"/>
  <c r="J18" i="1"/>
  <c r="J22" i="1"/>
  <c r="J26" i="1"/>
  <c r="J30" i="1"/>
  <c r="J34" i="1"/>
  <c r="C4" i="1"/>
  <c r="J7" i="1"/>
  <c r="J11" i="1"/>
  <c r="J15" i="1"/>
  <c r="J19" i="1"/>
  <c r="J23" i="1"/>
  <c r="J27" i="1"/>
  <c r="J31" i="1"/>
  <c r="J4" i="1"/>
  <c r="J8" i="1"/>
  <c r="J12" i="1"/>
  <c r="J16" i="1"/>
  <c r="J20" i="1"/>
  <c r="J24" i="1"/>
  <c r="J28" i="1"/>
  <c r="J32" i="1"/>
  <c r="V13" i="1"/>
  <c r="AC32" i="1"/>
  <c r="G24" i="1"/>
  <c r="K28" i="1"/>
  <c r="F13" i="1"/>
  <c r="X32" i="1"/>
  <c r="AA17" i="1"/>
  <c r="T19" i="1"/>
  <c r="Y33" i="1"/>
  <c r="AC29" i="1"/>
  <c r="AA25" i="1"/>
  <c r="L21" i="1"/>
  <c r="L17" i="1"/>
  <c r="M33" i="1"/>
  <c r="U29" i="1"/>
  <c r="K25" i="1"/>
  <c r="G20" i="1"/>
  <c r="F34" i="1"/>
  <c r="C22" i="1"/>
  <c r="AB34" i="1"/>
  <c r="E34" i="1"/>
  <c r="U33" i="1"/>
  <c r="AB29" i="1"/>
  <c r="R29" i="1"/>
  <c r="F29" i="1"/>
  <c r="V26" i="1"/>
  <c r="V25" i="1"/>
  <c r="G25" i="1"/>
  <c r="AD22" i="1"/>
  <c r="W21" i="1"/>
  <c r="K21" i="1"/>
  <c r="W17" i="1"/>
  <c r="G17" i="1"/>
  <c r="Z14" i="1"/>
  <c r="U13" i="1"/>
  <c r="U9" i="1"/>
  <c r="C13" i="1"/>
  <c r="V34" i="1"/>
  <c r="AB33" i="1"/>
  <c r="R33" i="1"/>
  <c r="I33" i="1"/>
  <c r="P32" i="1"/>
  <c r="Z29" i="1"/>
  <c r="N29" i="1"/>
  <c r="E29" i="1"/>
  <c r="R25" i="1"/>
  <c r="F25" i="1"/>
  <c r="V21" i="1"/>
  <c r="G21" i="1"/>
  <c r="R17" i="1"/>
  <c r="F17" i="1"/>
  <c r="M13" i="1"/>
  <c r="AA8" i="1"/>
  <c r="Z33" i="1"/>
  <c r="Q33" i="1"/>
  <c r="E33" i="1"/>
  <c r="V29" i="1"/>
  <c r="M29" i="1"/>
  <c r="P25" i="1"/>
  <c r="R21" i="1"/>
  <c r="P17" i="1"/>
  <c r="AA13" i="1"/>
  <c r="G13" i="1"/>
  <c r="R8" i="1"/>
  <c r="C32" i="1"/>
  <c r="F32" i="1"/>
  <c r="L32" i="1"/>
  <c r="Q32" i="1"/>
  <c r="V32" i="1"/>
  <c r="H32" i="1"/>
  <c r="M32" i="1"/>
  <c r="G28" i="1"/>
  <c r="N28" i="1"/>
  <c r="V28" i="1"/>
  <c r="H28" i="1"/>
  <c r="P28" i="1"/>
  <c r="W28" i="1"/>
  <c r="AC28" i="1"/>
  <c r="H24" i="1"/>
  <c r="P24" i="1"/>
  <c r="W24" i="1"/>
  <c r="AC24" i="1"/>
  <c r="K24" i="1"/>
  <c r="R24" i="1"/>
  <c r="X24" i="1"/>
  <c r="K20" i="1"/>
  <c r="R20" i="1"/>
  <c r="X20" i="1"/>
  <c r="F20" i="1"/>
  <c r="L20" i="1"/>
  <c r="S20" i="1"/>
  <c r="AA20" i="1"/>
  <c r="G16" i="1"/>
  <c r="N16" i="1"/>
  <c r="V16" i="1"/>
  <c r="H16" i="1"/>
  <c r="P16" i="1"/>
  <c r="W16" i="1"/>
  <c r="AC16" i="1"/>
  <c r="F12" i="1"/>
  <c r="N12" i="1"/>
  <c r="Y12" i="1"/>
  <c r="K12" i="1"/>
  <c r="S12" i="1"/>
  <c r="AB12" i="1"/>
  <c r="M12" i="1"/>
  <c r="V12" i="1"/>
  <c r="AB32" i="1"/>
  <c r="U32" i="1"/>
  <c r="D32" i="1"/>
  <c r="S28" i="1"/>
  <c r="F28" i="1"/>
  <c r="S24" i="1"/>
  <c r="F24" i="1"/>
  <c r="AC20" i="1"/>
  <c r="P20" i="1"/>
  <c r="AA16" i="1"/>
  <c r="L16" i="1"/>
  <c r="AA12" i="1"/>
  <c r="Q31" i="1"/>
  <c r="Y31" i="1"/>
  <c r="D27" i="1"/>
  <c r="O27" i="1"/>
  <c r="N23" i="1"/>
  <c r="X23" i="1"/>
  <c r="H15" i="1"/>
  <c r="S15" i="1"/>
  <c r="Z32" i="1"/>
  <c r="T32" i="1"/>
  <c r="I31" i="1"/>
  <c r="R28" i="1"/>
  <c r="Z27" i="1"/>
  <c r="N24" i="1"/>
  <c r="N20" i="1"/>
  <c r="X16" i="1"/>
  <c r="K16" i="1"/>
  <c r="R12" i="1"/>
  <c r="N34" i="1"/>
  <c r="AC34" i="1"/>
  <c r="E30" i="1"/>
  <c r="M30" i="1"/>
  <c r="R30" i="1"/>
  <c r="K26" i="1"/>
  <c r="T26" i="1"/>
  <c r="P22" i="1"/>
  <c r="T22" i="1"/>
  <c r="D18" i="1"/>
  <c r="Z18" i="1"/>
  <c r="F18" i="1"/>
  <c r="AA18" i="1"/>
  <c r="C14" i="1"/>
  <c r="D14" i="1"/>
  <c r="R5" i="1"/>
  <c r="K5" i="1"/>
  <c r="M34" i="1"/>
  <c r="Y32" i="1"/>
  <c r="R32" i="1"/>
  <c r="I32" i="1"/>
  <c r="AB30" i="1"/>
  <c r="AA28" i="1"/>
  <c r="L28" i="1"/>
  <c r="AD26" i="1"/>
  <c r="AA24" i="1"/>
  <c r="L24" i="1"/>
  <c r="AA22" i="1"/>
  <c r="W20" i="1"/>
  <c r="H20" i="1"/>
  <c r="P18" i="1"/>
  <c r="S16" i="1"/>
  <c r="F16" i="1"/>
  <c r="G12" i="1"/>
  <c r="N32" i="1"/>
  <c r="AC33" i="1"/>
  <c r="V33" i="1"/>
  <c r="N33" i="1"/>
  <c r="F33" i="1"/>
  <c r="Y29" i="1"/>
  <c r="Q29" i="1"/>
  <c r="I29" i="1"/>
  <c r="W25" i="1"/>
  <c r="AA21" i="1"/>
  <c r="P21" i="1"/>
  <c r="V17" i="1"/>
  <c r="M8" i="1"/>
  <c r="C29" i="1"/>
  <c r="Z30" i="1"/>
  <c r="U30" i="1"/>
  <c r="O14" i="1"/>
  <c r="K14" i="1"/>
  <c r="Z7" i="1"/>
  <c r="R7" i="1"/>
  <c r="I7" i="1"/>
  <c r="Y7" i="1"/>
  <c r="O7" i="1"/>
  <c r="E7" i="1"/>
  <c r="C7" i="1"/>
  <c r="AD7" i="1"/>
  <c r="W7" i="1"/>
  <c r="M7" i="1"/>
  <c r="AC7" i="1"/>
  <c r="S7" i="1"/>
  <c r="AB11" i="1"/>
  <c r="Y8" i="1"/>
  <c r="K8" i="1"/>
  <c r="S8" i="1"/>
  <c r="C31" i="1"/>
  <c r="G31" i="1"/>
  <c r="K31" i="1"/>
  <c r="O31" i="1"/>
  <c r="S31" i="1"/>
  <c r="W31" i="1"/>
  <c r="AA31" i="1"/>
  <c r="AD31" i="1"/>
  <c r="D31" i="1"/>
  <c r="H31" i="1"/>
  <c r="L31" i="1"/>
  <c r="P31" i="1"/>
  <c r="T31" i="1"/>
  <c r="X31" i="1"/>
  <c r="E27" i="1"/>
  <c r="I27" i="1"/>
  <c r="M27" i="1"/>
  <c r="Q27" i="1"/>
  <c r="U27" i="1"/>
  <c r="Y27" i="1"/>
  <c r="AB27" i="1"/>
  <c r="F27" i="1"/>
  <c r="K27" i="1"/>
  <c r="P27" i="1"/>
  <c r="V27" i="1"/>
  <c r="AA27" i="1"/>
  <c r="G27" i="1"/>
  <c r="L27" i="1"/>
  <c r="R27" i="1"/>
  <c r="W27" i="1"/>
  <c r="C27" i="1"/>
  <c r="E19" i="1"/>
  <c r="I19" i="1"/>
  <c r="M19" i="1"/>
  <c r="Q19" i="1"/>
  <c r="U19" i="1"/>
  <c r="Y19" i="1"/>
  <c r="AB19" i="1"/>
  <c r="F19" i="1"/>
  <c r="K19" i="1"/>
  <c r="P19" i="1"/>
  <c r="V19" i="1"/>
  <c r="AA19" i="1"/>
  <c r="G19" i="1"/>
  <c r="L19" i="1"/>
  <c r="R19" i="1"/>
  <c r="W19" i="1"/>
  <c r="C19" i="1"/>
  <c r="C15" i="1"/>
  <c r="E15" i="1"/>
  <c r="I15" i="1"/>
  <c r="M15" i="1"/>
  <c r="Q15" i="1"/>
  <c r="U15" i="1"/>
  <c r="Y15" i="1"/>
  <c r="AB15" i="1"/>
  <c r="F15" i="1"/>
  <c r="K15" i="1"/>
  <c r="P15" i="1"/>
  <c r="V15" i="1"/>
  <c r="AA15" i="1"/>
  <c r="G15" i="1"/>
  <c r="L15" i="1"/>
  <c r="R15" i="1"/>
  <c r="W15" i="1"/>
  <c r="D10" i="1"/>
  <c r="H10" i="1"/>
  <c r="L10" i="1"/>
  <c r="P10" i="1"/>
  <c r="T10" i="1"/>
  <c r="X10" i="1"/>
  <c r="C10" i="1"/>
  <c r="G10" i="1"/>
  <c r="M10" i="1"/>
  <c r="R10" i="1"/>
  <c r="W10" i="1"/>
  <c r="AB10" i="1"/>
  <c r="I10" i="1"/>
  <c r="O10" i="1"/>
  <c r="V10" i="1"/>
  <c r="AC10" i="1"/>
  <c r="Q10" i="1"/>
  <c r="Y10" i="1"/>
  <c r="AD10" i="1"/>
  <c r="E10" i="1"/>
  <c r="K10" i="1"/>
  <c r="S10" i="1"/>
  <c r="Z10" i="1"/>
  <c r="AC31" i="1"/>
  <c r="N31" i="1"/>
  <c r="F31" i="1"/>
  <c r="X27" i="1"/>
  <c r="N27" i="1"/>
  <c r="E23" i="1"/>
  <c r="I23" i="1"/>
  <c r="M23" i="1"/>
  <c r="Q23" i="1"/>
  <c r="U23" i="1"/>
  <c r="Y23" i="1"/>
  <c r="AB23" i="1"/>
  <c r="C23" i="1"/>
  <c r="F23" i="1"/>
  <c r="K23" i="1"/>
  <c r="P23" i="1"/>
  <c r="V23" i="1"/>
  <c r="AA23" i="1"/>
  <c r="G23" i="1"/>
  <c r="L23" i="1"/>
  <c r="R23" i="1"/>
  <c r="W23" i="1"/>
  <c r="D6" i="1"/>
  <c r="H6" i="1"/>
  <c r="L6" i="1"/>
  <c r="P6" i="1"/>
  <c r="T6" i="1"/>
  <c r="X6" i="1"/>
  <c r="G6" i="1"/>
  <c r="M6" i="1"/>
  <c r="R6" i="1"/>
  <c r="W6" i="1"/>
  <c r="AB6" i="1"/>
  <c r="F6" i="1"/>
  <c r="N6" i="1"/>
  <c r="U6" i="1"/>
  <c r="AA6" i="1"/>
  <c r="I6" i="1"/>
  <c r="O6" i="1"/>
  <c r="V6" i="1"/>
  <c r="AC6" i="1"/>
  <c r="C6" i="1"/>
  <c r="Q6" i="1"/>
  <c r="Y6" i="1"/>
  <c r="AD6" i="1"/>
  <c r="V31" i="1"/>
  <c r="AD23" i="1"/>
  <c r="T23" i="1"/>
  <c r="AC19" i="1"/>
  <c r="S19" i="1"/>
  <c r="H19" i="1"/>
  <c r="Z15" i="1"/>
  <c r="O15" i="1"/>
  <c r="D15" i="1"/>
  <c r="U10" i="1"/>
  <c r="K6" i="1"/>
  <c r="D11" i="1"/>
  <c r="H11" i="1"/>
  <c r="L11" i="1"/>
  <c r="P11" i="1"/>
  <c r="T11" i="1"/>
  <c r="X11" i="1"/>
  <c r="F11" i="1"/>
  <c r="K11" i="1"/>
  <c r="Q11" i="1"/>
  <c r="V11" i="1"/>
  <c r="AA11" i="1"/>
  <c r="I11" i="1"/>
  <c r="O11" i="1"/>
  <c r="W11" i="1"/>
  <c r="AC11" i="1"/>
  <c r="C11" i="1"/>
  <c r="R11" i="1"/>
  <c r="Y11" i="1"/>
  <c r="AD11" i="1"/>
  <c r="E11" i="1"/>
  <c r="M11" i="1"/>
  <c r="S11" i="1"/>
  <c r="Z11" i="1"/>
  <c r="G34" i="1"/>
  <c r="K34" i="1"/>
  <c r="O34" i="1"/>
  <c r="S34" i="1"/>
  <c r="W34" i="1"/>
  <c r="AA34" i="1"/>
  <c r="AD34" i="1"/>
  <c r="D34" i="1"/>
  <c r="H34" i="1"/>
  <c r="L34" i="1"/>
  <c r="P34" i="1"/>
  <c r="T34" i="1"/>
  <c r="X34" i="1"/>
  <c r="C34" i="1"/>
  <c r="C30" i="1"/>
  <c r="G30" i="1"/>
  <c r="K30" i="1"/>
  <c r="O30" i="1"/>
  <c r="S30" i="1"/>
  <c r="W30" i="1"/>
  <c r="AA30" i="1"/>
  <c r="AD30" i="1"/>
  <c r="D30" i="1"/>
  <c r="H30" i="1"/>
  <c r="L30" i="1"/>
  <c r="P30" i="1"/>
  <c r="T30" i="1"/>
  <c r="X30" i="1"/>
  <c r="C26" i="1"/>
  <c r="E26" i="1"/>
  <c r="I26" i="1"/>
  <c r="M26" i="1"/>
  <c r="Q26" i="1"/>
  <c r="U26" i="1"/>
  <c r="Y26" i="1"/>
  <c r="AB26" i="1"/>
  <c r="G26" i="1"/>
  <c r="L26" i="1"/>
  <c r="R26" i="1"/>
  <c r="W26" i="1"/>
  <c r="H26" i="1"/>
  <c r="N26" i="1"/>
  <c r="S26" i="1"/>
  <c r="X26" i="1"/>
  <c r="AC26" i="1"/>
  <c r="E22" i="1"/>
  <c r="I22" i="1"/>
  <c r="M22" i="1"/>
  <c r="Q22" i="1"/>
  <c r="U22" i="1"/>
  <c r="Y22" i="1"/>
  <c r="AB22" i="1"/>
  <c r="G22" i="1"/>
  <c r="L22" i="1"/>
  <c r="R22" i="1"/>
  <c r="W22" i="1"/>
  <c r="H22" i="1"/>
  <c r="N22" i="1"/>
  <c r="S22" i="1"/>
  <c r="X22" i="1"/>
  <c r="AC22" i="1"/>
  <c r="E18" i="1"/>
  <c r="I18" i="1"/>
  <c r="M18" i="1"/>
  <c r="Q18" i="1"/>
  <c r="U18" i="1"/>
  <c r="Y18" i="1"/>
  <c r="AB18" i="1"/>
  <c r="G18" i="1"/>
  <c r="L18" i="1"/>
  <c r="R18" i="1"/>
  <c r="W18" i="1"/>
  <c r="C18" i="1"/>
  <c r="H18" i="1"/>
  <c r="N18" i="1"/>
  <c r="S18" i="1"/>
  <c r="X18" i="1"/>
  <c r="AC18" i="1"/>
  <c r="E14" i="1"/>
  <c r="I14" i="1"/>
  <c r="M14" i="1"/>
  <c r="Q14" i="1"/>
  <c r="U14" i="1"/>
  <c r="Y14" i="1"/>
  <c r="AB14" i="1"/>
  <c r="G14" i="1"/>
  <c r="L14" i="1"/>
  <c r="R14" i="1"/>
  <c r="W14" i="1"/>
  <c r="H14" i="1"/>
  <c r="N14" i="1"/>
  <c r="S14" i="1"/>
  <c r="X14" i="1"/>
  <c r="AC14" i="1"/>
  <c r="H9" i="1"/>
  <c r="L9" i="1"/>
  <c r="P9" i="1"/>
  <c r="T9" i="1"/>
  <c r="X9" i="1"/>
  <c r="I9" i="1"/>
  <c r="N9" i="1"/>
  <c r="S9" i="1"/>
  <c r="Y9" i="1"/>
  <c r="AC9" i="1"/>
  <c r="C9" i="1"/>
  <c r="G9" i="1"/>
  <c r="O9" i="1"/>
  <c r="V9" i="1"/>
  <c r="AB9" i="1"/>
  <c r="Q9" i="1"/>
  <c r="W9" i="1"/>
  <c r="AD9" i="1"/>
  <c r="E9" i="1"/>
  <c r="K9" i="1"/>
  <c r="R9" i="1"/>
  <c r="Z9" i="1"/>
  <c r="D5" i="1"/>
  <c r="H5" i="1"/>
  <c r="L5" i="1"/>
  <c r="P5" i="1"/>
  <c r="T5" i="1"/>
  <c r="X5" i="1"/>
  <c r="C5" i="1"/>
  <c r="I5" i="1"/>
  <c r="N5" i="1"/>
  <c r="S5" i="1"/>
  <c r="Y5" i="1"/>
  <c r="AC5" i="1"/>
  <c r="F5" i="1"/>
  <c r="M5" i="1"/>
  <c r="U5" i="1"/>
  <c r="AA5" i="1"/>
  <c r="G5" i="1"/>
  <c r="O5" i="1"/>
  <c r="V5" i="1"/>
  <c r="AB5" i="1"/>
  <c r="Q5" i="1"/>
  <c r="W5" i="1"/>
  <c r="AD5" i="1"/>
  <c r="Z34" i="1"/>
  <c r="R34" i="1"/>
  <c r="AB31" i="1"/>
  <c r="U31" i="1"/>
  <c r="M31" i="1"/>
  <c r="E31" i="1"/>
  <c r="Y30" i="1"/>
  <c r="Q30" i="1"/>
  <c r="I30" i="1"/>
  <c r="AD27" i="1"/>
  <c r="T27" i="1"/>
  <c r="AA26" i="1"/>
  <c r="P26" i="1"/>
  <c r="F26" i="1"/>
  <c r="AC23" i="1"/>
  <c r="S23" i="1"/>
  <c r="H23" i="1"/>
  <c r="Z22" i="1"/>
  <c r="O22" i="1"/>
  <c r="D22" i="1"/>
  <c r="Z19" i="1"/>
  <c r="O19" i="1"/>
  <c r="D19" i="1"/>
  <c r="V18" i="1"/>
  <c r="K18" i="1"/>
  <c r="X15" i="1"/>
  <c r="N15" i="1"/>
  <c r="AD14" i="1"/>
  <c r="T14" i="1"/>
  <c r="N11" i="1"/>
  <c r="N10" i="1"/>
  <c r="M9" i="1"/>
  <c r="E6" i="1"/>
  <c r="E5" i="1"/>
  <c r="Y34" i="1"/>
  <c r="Q34" i="1"/>
  <c r="I34" i="1"/>
  <c r="Z31" i="1"/>
  <c r="R31" i="1"/>
  <c r="AC30" i="1"/>
  <c r="V30" i="1"/>
  <c r="N30" i="1"/>
  <c r="F30" i="1"/>
  <c r="AC27" i="1"/>
  <c r="S27" i="1"/>
  <c r="H27" i="1"/>
  <c r="Z26" i="1"/>
  <c r="O26" i="1"/>
  <c r="D26" i="1"/>
  <c r="Z23" i="1"/>
  <c r="O23" i="1"/>
  <c r="D23" i="1"/>
  <c r="V22" i="1"/>
  <c r="K22" i="1"/>
  <c r="X19" i="1"/>
  <c r="N19" i="1"/>
  <c r="AD18" i="1"/>
  <c r="T18" i="1"/>
  <c r="AD15" i="1"/>
  <c r="T15" i="1"/>
  <c r="AA14" i="1"/>
  <c r="P14" i="1"/>
  <c r="F14" i="1"/>
  <c r="G11" i="1"/>
  <c r="F10" i="1"/>
  <c r="F9" i="1"/>
  <c r="Z6" i="1"/>
  <c r="Z5" i="1"/>
  <c r="E25" i="1"/>
  <c r="I25" i="1"/>
  <c r="M25" i="1"/>
  <c r="Q25" i="1"/>
  <c r="U25" i="1"/>
  <c r="Y25" i="1"/>
  <c r="AB25" i="1"/>
  <c r="C21" i="1"/>
  <c r="E21" i="1"/>
  <c r="I21" i="1"/>
  <c r="M21" i="1"/>
  <c r="Q21" i="1"/>
  <c r="U21" i="1"/>
  <c r="Y21" i="1"/>
  <c r="AB21" i="1"/>
  <c r="E17" i="1"/>
  <c r="I17" i="1"/>
  <c r="M17" i="1"/>
  <c r="Q17" i="1"/>
  <c r="U17" i="1"/>
  <c r="Y17" i="1"/>
  <c r="AB17" i="1"/>
  <c r="D13" i="1"/>
  <c r="H13" i="1"/>
  <c r="L13" i="1"/>
  <c r="P13" i="1"/>
  <c r="T13" i="1"/>
  <c r="X13" i="1"/>
  <c r="I13" i="1"/>
  <c r="N13" i="1"/>
  <c r="S13" i="1"/>
  <c r="Y13" i="1"/>
  <c r="AB13" i="1"/>
  <c r="C8" i="1"/>
  <c r="D8" i="1"/>
  <c r="H8" i="1"/>
  <c r="L8" i="1"/>
  <c r="P8" i="1"/>
  <c r="T8" i="1"/>
  <c r="X8" i="1"/>
  <c r="E8" i="1"/>
  <c r="O8" i="1"/>
  <c r="U8" i="1"/>
  <c r="Z8" i="1"/>
  <c r="AD8" i="1"/>
  <c r="X33" i="1"/>
  <c r="T33" i="1"/>
  <c r="P33" i="1"/>
  <c r="L33" i="1"/>
  <c r="H33" i="1"/>
  <c r="D33" i="1"/>
  <c r="X29" i="1"/>
  <c r="T29" i="1"/>
  <c r="P29" i="1"/>
  <c r="L29" i="1"/>
  <c r="H29" i="1"/>
  <c r="D29" i="1"/>
  <c r="AD25" i="1"/>
  <c r="Z25" i="1"/>
  <c r="T25" i="1"/>
  <c r="O25" i="1"/>
  <c r="D25" i="1"/>
  <c r="AD21" i="1"/>
  <c r="Z21" i="1"/>
  <c r="T21" i="1"/>
  <c r="O21" i="1"/>
  <c r="D21" i="1"/>
  <c r="AD17" i="1"/>
  <c r="Z17" i="1"/>
  <c r="T17" i="1"/>
  <c r="O17" i="1"/>
  <c r="D17" i="1"/>
  <c r="AD13" i="1"/>
  <c r="Z13" i="1"/>
  <c r="R13" i="1"/>
  <c r="K13" i="1"/>
  <c r="E13" i="1"/>
  <c r="AC8" i="1"/>
  <c r="W8" i="1"/>
  <c r="Q8" i="1"/>
  <c r="I8" i="1"/>
  <c r="C33" i="1"/>
  <c r="C25" i="1"/>
  <c r="C28" i="1"/>
  <c r="E28" i="1"/>
  <c r="I28" i="1"/>
  <c r="M28" i="1"/>
  <c r="Q28" i="1"/>
  <c r="U28" i="1"/>
  <c r="Y28" i="1"/>
  <c r="AB28" i="1"/>
  <c r="C24" i="1"/>
  <c r="E24" i="1"/>
  <c r="I24" i="1"/>
  <c r="M24" i="1"/>
  <c r="Q24" i="1"/>
  <c r="U24" i="1"/>
  <c r="Y24" i="1"/>
  <c r="AB24" i="1"/>
  <c r="C20" i="1"/>
  <c r="E20" i="1"/>
  <c r="I20" i="1"/>
  <c r="M20" i="1"/>
  <c r="Q20" i="1"/>
  <c r="U20" i="1"/>
  <c r="Y20" i="1"/>
  <c r="AB20" i="1"/>
  <c r="C16" i="1"/>
  <c r="E16" i="1"/>
  <c r="I16" i="1"/>
  <c r="M16" i="1"/>
  <c r="Q16" i="1"/>
  <c r="U16" i="1"/>
  <c r="Y16" i="1"/>
  <c r="AB16" i="1"/>
  <c r="C12" i="1"/>
  <c r="D12" i="1"/>
  <c r="H12" i="1"/>
  <c r="L12" i="1"/>
  <c r="P12" i="1"/>
  <c r="T12" i="1"/>
  <c r="X12" i="1"/>
  <c r="E12" i="1"/>
  <c r="O12" i="1"/>
  <c r="U12" i="1"/>
  <c r="Z12" i="1"/>
  <c r="AD12" i="1"/>
  <c r="D7" i="1"/>
  <c r="H7" i="1"/>
  <c r="L7" i="1"/>
  <c r="P7" i="1"/>
  <c r="T7" i="1"/>
  <c r="X7" i="1"/>
  <c r="F7" i="1"/>
  <c r="K7" i="1"/>
  <c r="Q7" i="1"/>
  <c r="V7" i="1"/>
  <c r="AA7" i="1"/>
  <c r="AD33" i="1"/>
  <c r="AA33" i="1"/>
  <c r="W33" i="1"/>
  <c r="S33" i="1"/>
  <c r="O33" i="1"/>
  <c r="K33" i="1"/>
  <c r="AD32" i="1"/>
  <c r="AA32" i="1"/>
  <c r="W32" i="1"/>
  <c r="S32" i="1"/>
  <c r="O32" i="1"/>
  <c r="K32" i="1"/>
  <c r="G32" i="1"/>
  <c r="AD29" i="1"/>
  <c r="AA29" i="1"/>
  <c r="W29" i="1"/>
  <c r="S29" i="1"/>
  <c r="O29" i="1"/>
  <c r="K29" i="1"/>
  <c r="AD28" i="1"/>
  <c r="Z28" i="1"/>
  <c r="T28" i="1"/>
  <c r="O28" i="1"/>
  <c r="D28" i="1"/>
  <c r="AC25" i="1"/>
  <c r="X25" i="1"/>
  <c r="S25" i="1"/>
  <c r="N25" i="1"/>
  <c r="H25" i="1"/>
  <c r="AD24" i="1"/>
  <c r="Z24" i="1"/>
  <c r="T24" i="1"/>
  <c r="O24" i="1"/>
  <c r="D24" i="1"/>
  <c r="AC21" i="1"/>
  <c r="X21" i="1"/>
  <c r="S21" i="1"/>
  <c r="N21" i="1"/>
  <c r="H21" i="1"/>
  <c r="AD20" i="1"/>
  <c r="Z20" i="1"/>
  <c r="T20" i="1"/>
  <c r="O20" i="1"/>
  <c r="D20" i="1"/>
  <c r="AC17" i="1"/>
  <c r="X17" i="1"/>
  <c r="S17" i="1"/>
  <c r="N17" i="1"/>
  <c r="H17" i="1"/>
  <c r="AD16" i="1"/>
  <c r="Z16" i="1"/>
  <c r="T16" i="1"/>
  <c r="O16" i="1"/>
  <c r="D16" i="1"/>
  <c r="AC13" i="1"/>
  <c r="W13" i="1"/>
  <c r="Q13" i="1"/>
  <c r="AC12" i="1"/>
  <c r="W12" i="1"/>
  <c r="Q12" i="1"/>
  <c r="I12" i="1"/>
  <c r="AB8" i="1"/>
  <c r="V8" i="1"/>
  <c r="N8" i="1"/>
  <c r="G8" i="1"/>
  <c r="AB7" i="1"/>
  <c r="U7" i="1"/>
  <c r="N7" i="1"/>
  <c r="G7" i="1"/>
  <c r="C17" i="1"/>
  <c r="B19" i="1" l="1"/>
  <c r="B5" i="1"/>
  <c r="B9" i="1"/>
  <c r="B10" i="1"/>
  <c r="B12" i="1"/>
  <c r="B13" i="1"/>
  <c r="B15" i="1"/>
  <c r="B16" i="1"/>
  <c r="B20" i="1"/>
  <c r="B24" i="1"/>
  <c r="B26" i="1"/>
  <c r="B27" i="1"/>
  <c r="B32" i="1"/>
  <c r="B34" i="1"/>
  <c r="B33" i="1"/>
  <c r="B31" i="1"/>
  <c r="B30" i="1"/>
  <c r="B29" i="1"/>
  <c r="B28" i="1"/>
  <c r="B25" i="1"/>
  <c r="B23" i="1"/>
  <c r="B22" i="1"/>
  <c r="B21" i="1"/>
  <c r="B18" i="1"/>
  <c r="B17" i="1"/>
  <c r="B14" i="1"/>
  <c r="B11" i="1"/>
  <c r="B8" i="1"/>
  <c r="B7" i="1"/>
  <c r="B6" i="1"/>
  <c r="AF35" i="1"/>
  <c r="C31" i="2" s="1"/>
  <c r="AE35" i="1"/>
  <c r="C30" i="2" s="1"/>
  <c r="C35" i="4"/>
  <c r="D35" i="4"/>
  <c r="D35" i="1" l="1"/>
  <c r="H4" i="1"/>
  <c r="H35" i="1" s="1"/>
  <c r="L4" i="1"/>
  <c r="L35" i="1" s="1"/>
  <c r="P4" i="1"/>
  <c r="P35" i="1" s="1"/>
  <c r="T4" i="1"/>
  <c r="T35" i="1" s="1"/>
  <c r="X4" i="1"/>
  <c r="X35" i="1" s="1"/>
  <c r="E4" i="1"/>
  <c r="J35" i="1"/>
  <c r="O4" i="1"/>
  <c r="O35" i="1" s="1"/>
  <c r="U4" i="1"/>
  <c r="U35" i="1" s="1"/>
  <c r="Z4" i="1"/>
  <c r="Z35" i="1" s="1"/>
  <c r="F4" i="1"/>
  <c r="F35" i="1" s="1"/>
  <c r="M4" i="1"/>
  <c r="M35" i="1" s="1"/>
  <c r="S4" i="1"/>
  <c r="S35" i="1" s="1"/>
  <c r="AA4" i="1"/>
  <c r="AA35" i="1" s="1"/>
  <c r="G4" i="1"/>
  <c r="G35" i="1" s="1"/>
  <c r="N4" i="1"/>
  <c r="N35" i="1" s="1"/>
  <c r="V4" i="1"/>
  <c r="V35" i="1" s="1"/>
  <c r="AB4" i="1"/>
  <c r="AB35" i="1" s="1"/>
  <c r="I4" i="1"/>
  <c r="I35" i="1" s="1"/>
  <c r="Q4" i="1"/>
  <c r="Q35" i="1" s="1"/>
  <c r="W4" i="1"/>
  <c r="W35" i="1" s="1"/>
  <c r="AC4" i="1"/>
  <c r="AC35" i="1" s="1"/>
  <c r="Y4" i="1"/>
  <c r="Y35" i="1" s="1"/>
  <c r="K4" i="1"/>
  <c r="K35" i="1" s="1"/>
  <c r="R4" i="1"/>
  <c r="R35" i="1" s="1"/>
  <c r="AG35" i="4"/>
  <c r="B38" i="4" s="1"/>
  <c r="E35" i="1" l="1"/>
  <c r="B4" i="1"/>
  <c r="B35" i="1" s="1"/>
  <c r="C9" i="2"/>
  <c r="C27" i="2"/>
  <c r="C4" i="2"/>
  <c r="C15" i="2"/>
  <c r="C17" i="2"/>
  <c r="C22" i="2"/>
  <c r="C21" i="2"/>
  <c r="C18" i="2"/>
  <c r="C20" i="2"/>
  <c r="C11" i="2"/>
  <c r="C28" i="2"/>
  <c r="C25" i="2"/>
  <c r="C16" i="2"/>
  <c r="C12" i="2"/>
  <c r="C14" i="2"/>
  <c r="C23" i="2"/>
  <c r="C7" i="2"/>
  <c r="C26" i="2"/>
  <c r="C10" i="2"/>
  <c r="C13" i="2"/>
  <c r="C24" i="2"/>
  <c r="C8" i="2"/>
  <c r="C6" i="2"/>
  <c r="C5" i="2"/>
  <c r="C19" i="2"/>
  <c r="C3" i="2"/>
  <c r="AD35" i="1"/>
  <c r="C35" i="1"/>
  <c r="C29" i="2" l="1"/>
  <c r="C2" i="2"/>
  <c r="C32" i="2" s="1"/>
</calcChain>
</file>

<file path=xl/sharedStrings.xml><?xml version="1.0" encoding="utf-8"?>
<sst xmlns="http://schemas.openxmlformats.org/spreadsheetml/2006/main" count="168" uniqueCount="74">
  <si>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</si>
  <si>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</si>
  <si>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</si>
  <si>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</si>
  <si>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</si>
  <si>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</si>
  <si>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</si>
  <si>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</si>
  <si>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</si>
  <si>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</si>
  <si>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</si>
  <si>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</si>
  <si>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</si>
  <si>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</si>
  <si>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</si>
  <si>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</si>
  <si>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</si>
  <si>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</si>
  <si>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</si>
  <si>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</si>
  <si>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</si>
  <si>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</si>
  <si>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</si>
  <si>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</si>
  <si>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</si>
  <si>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</si>
  <si>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</si>
  <si>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</si>
  <si>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</si>
  <si>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</si>
  <si>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اتحادیه
 سراسری
 تعاونی
 های
 مصرف
 محلی
 ایران</t>
  </si>
  <si>
    <t>شرکت
 تعاونی
 یاس
 تجارت
 گستر
 سبلان</t>
  </si>
  <si>
    <t>شرکت فروشگاه های زنجیره ای نجم خاورمیانه</t>
  </si>
  <si>
    <t>ردیف</t>
  </si>
  <si>
    <t>شرکت
 آروین
 بازار
 پارس-برند وین مارکت</t>
  </si>
  <si>
    <t>شرکت
 بازرگانی
 سامان
 اندیشان
 امرتات-برند هایپرمی</t>
  </si>
  <si>
    <t>شرکت
 خدماتی 
کالای
 شهروند-برند شهروند</t>
  </si>
  <si>
    <t>شرکت
 سیمای
 مشاغل
 آرین-برند سیمای مشاغل</t>
  </si>
  <si>
    <t>شرکت
 فروشگاه
 های
 تخفیفی
 اوشانک-برند تخفیفی هفت</t>
  </si>
  <si>
    <t>شرکت
 فروشگاه 
های
 زنجیره
 ای
 اتکا-برند اتکا</t>
  </si>
  <si>
    <t>شرکت
 فروشگاه
 های
 زنجیره
 ای
 افق
 کوروش-برند افق کوروش</t>
  </si>
  <si>
    <t>شرکت فروشگاه های زنجیره ای اورست مدرن پارس-برند جانبو</t>
  </si>
  <si>
    <t>شرکت فروشگاه های زنجیره ای رفاه-برند رفاه</t>
  </si>
  <si>
    <t>شرکت فروشگاه های زنجیره ای سپه-برند سپه</t>
  </si>
  <si>
    <t>شرکت فروشگاه های زنجیره ای فامیلی مدرن-برند هایپرفامیلی</t>
  </si>
  <si>
    <t>شرکت فروشگاه های زنجیره ای هایپر مارکت های ماف پارس-برند هایپراستار</t>
  </si>
  <si>
    <t>شرکت فروشگاه های زنجیره ای همسایه آریا-برند شیرین عسل</t>
  </si>
  <si>
    <t>شرکت فروشگاه های زنجیره ای یاران دریان-برند یاران دریان</t>
  </si>
  <si>
    <t>شرکت یگانه مروارید خلیج فارس-برند آس مارکت</t>
  </si>
  <si>
    <t>شرکت فروشگاه های زنجیره ای دیان گستر پارسیان-برند ویوان</t>
  </si>
  <si>
    <t>آقای عباسعلی دلاور-برند دلاوران</t>
  </si>
  <si>
    <t>آقای ابراهیم مقدسی-شهرخرید</t>
  </si>
  <si>
    <t>آقای عادل قنبری کوکنده-برند هم همه</t>
  </si>
  <si>
    <t>شرکت تامین کالای سپهر ایرانیان-برند باما و شهرما</t>
  </si>
  <si>
    <t>شرکت خدمات بازرگانی نعیم صدر اصفهان-برند هایپرشهر</t>
  </si>
  <si>
    <t>شرکت فروشگاه های زنجیره ای سرزمین خرید-برند دیلی مارکت</t>
  </si>
  <si>
    <t>شرکت گلبرگ زرین کلار-برند نشان</t>
  </si>
  <si>
    <t>شرکت مطاف کالای دریای پارس-برند مطاف</t>
  </si>
  <si>
    <t>اسامی شرکت ها/سهمیه استانی</t>
  </si>
  <si>
    <t>شرکت کالا بهرسان تارا نوین - برند تارا مارکت</t>
  </si>
  <si>
    <t>فروشگاه زنجیره ای دلاوران-برند دلاوران</t>
  </si>
  <si>
    <t>کهگیلویه و بویر احمد</t>
  </si>
  <si>
    <t>سهم فروشگاه/اتحادیه/شرکت</t>
  </si>
  <si>
    <t>میزان سهمیه فروشگاه/اتحادیه/شرکت</t>
  </si>
  <si>
    <t xml:space="preserve">استان / فروشگاه </t>
  </si>
  <si>
    <t>جمع سهمیه هر استان بر اساس ضریب تجمیعی</t>
  </si>
  <si>
    <t>مجموع سهمیه استان ها</t>
  </si>
  <si>
    <t>سهم هر شعبه</t>
  </si>
  <si>
    <t>مجموع شعبه استان</t>
  </si>
  <si>
    <t>سهم</t>
  </si>
  <si>
    <t>جمع کل</t>
  </si>
  <si>
    <t>شرکت فروشگاه های زنجیره ای حیات</t>
  </si>
  <si>
    <t>شرکت فروشگاه های زنجیره ای امیران</t>
  </si>
  <si>
    <t>شرکت فروشگه های زنجیره ای امیران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</si>
</sst>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6"/>
      <color rgb="FFFF0000"/>
      <name val="B Nazanin"/>
      <charset val="178"/>
    </font>
    <font>
      <b/>
      <sz val="16"/>
      <name val="B Nazanin"/>
      <charset val="178"/>
    </font>
    <font>
      <sz val="16"/>
      <color theme="1"/>
      <name val="Calibri"/>
      <family val="2"/>
      <scheme val="minor"/>
    </font>
    <font>
      <b/>
      <sz val="16"/>
      <color theme="1"/>
      <name val="B Nazanin"/>
      <charset val="178"/>
    </font>
    <font>
      <b/>
      <sz val="16"/>
      <color theme="1"/>
      <name val="B Titr"/>
      <charset val="178"/>
    </font>
    <font>
      <b/>
      <sz val="16"/>
      <color theme="1"/>
      <name val="B Tit 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rightToLeft="1" tabSelected="1" zoomScale="67" zoomScaleNormal="67" zoomScaleSheetLayoutView="40" workbookViewId="0">
      <pane ySplit="2" topLeftCell="A36" activePane="bottomLeft" state="frozen"/>
      <selection activeCell="D21" sqref="D21"/>
      <selection pane="bottomLeft" activeCell="A37" sqref="A37"/>
    </sheetView>
  </sheetViews>
  <sheetFormatPr defaultColWidth="9" defaultRowHeight="21"/>
  <cols>
    <col min="1" max="1" width="33.5703125" style="5" bestFit="1" customWidth="1"/>
    <col min="2" max="2" width="11.42578125" style="5" customWidth="1"/>
    <col min="3" max="30" width="13" style="5" customWidth="1"/>
    <col min="31" max="31" width="12.42578125" style="5" customWidth="1"/>
    <col min="32" max="32" width="9" style="5" customWidth="1"/>
    <col min="33" max="16384" width="9" style="5"/>
  </cols>
  <sheetData>
    <row r="1" spans="1:32" ht="179.25" customHeight="1">
      <c r="A1" s="2" t="s">
        <v>64</v>
      </c>
      <c r="B1" s="3" t="s">
        <v>65</v>
      </c>
      <c r="C1" s="4" t="s">
        <v>30</v>
      </c>
      <c r="D1" s="4" t="s">
        <v>34</v>
      </c>
      <c r="E1" s="4" t="s">
        <v>35</v>
      </c>
      <c r="F1" s="4" t="s">
        <v>31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32</v>
      </c>
      <c r="Q1" s="4" t="s">
        <v>45</v>
      </c>
      <c r="R1" s="4" t="s">
        <v>46</v>
      </c>
      <c r="S1" s="4" t="s">
        <v>47</v>
      </c>
      <c r="T1" s="4" t="s">
        <v>48</v>
      </c>
      <c r="U1" s="4" t="s">
        <v>49</v>
      </c>
      <c r="V1" s="4" t="s">
        <v>60</v>
      </c>
      <c r="W1" s="4" t="s">
        <v>51</v>
      </c>
      <c r="X1" s="4" t="s">
        <v>59</v>
      </c>
      <c r="Y1" s="4" t="s">
        <v>52</v>
      </c>
      <c r="Z1" s="4" t="s">
        <v>53</v>
      </c>
      <c r="AA1" s="4" t="s">
        <v>54</v>
      </c>
      <c r="AB1" s="4" t="s">
        <v>55</v>
      </c>
      <c r="AC1" s="4" t="s">
        <v>56</v>
      </c>
      <c r="AD1" s="4" t="s">
        <v>57</v>
      </c>
      <c r="AE1" s="4" t="s">
        <v>71</v>
      </c>
      <c r="AF1" s="4" t="s">
        <v>72</v>
      </c>
    </row>
    <row r="2" spans="1:32" ht="13.5" customHeight="1">
      <c r="A2" s="6" t="s">
        <v>62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0.25" customHeight="1">
      <c r="A3" s="6" t="s">
        <v>63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27.75" customHeight="1">
      <c r="A4" s="10" t="s">
        <v>0</v>
      </c>
      <c r="B4" s="11">
        <f>SUM(C4:AF4)</f>
        <v>2421.9999999999995</v>
      </c>
      <c r="C4" s="12">
        <f>'تعداد شعب'!$B$4/'تعداد شعب'!$AG$4*'تعداد شعب'!C4/2</f>
        <v>0</v>
      </c>
      <c r="D4" s="12">
        <f>'تعداد شعب'!$B$4/'تعداد شعب'!$AG$4*'تعداد شعب'!D4</f>
        <v>115.14811067797689</v>
      </c>
      <c r="E4" s="12">
        <f>'تعداد شعب'!$B$4/'تعداد شعب'!$AG$4*'تعداد شعب'!E4</f>
        <v>50.120271388851549</v>
      </c>
      <c r="F4" s="12">
        <f>'تعداد شعب'!$B$4/'تعداد شعب'!$AG$4*'تعداد شعب'!F4</f>
        <v>0</v>
      </c>
      <c r="G4" s="12">
        <f>'تعداد شعب'!$B$4/'تعداد شعب'!$AG$4*'تعداد شعب'!G4</f>
        <v>0</v>
      </c>
      <c r="H4" s="12">
        <f>'تعداد شعب'!$B$4/'تعداد شعب'!$AG$4*'تعداد شعب'!H4</f>
        <v>28.958379024669782</v>
      </c>
      <c r="I4" s="12">
        <f>'تعداد شعب'!$B$4/'تعداد شعب'!$AG$4*'تعداد شعب'!I4</f>
        <v>0</v>
      </c>
      <c r="J4" s="12">
        <f>'تعداد شعب'!$B$4/'تعداد شعب'!$AG$4*'تعداد شعب'!J4</f>
        <v>259.08324902544797</v>
      </c>
      <c r="K4" s="12">
        <f>'تعداد شعب'!$B$4/'تعداد شعب'!$AG$4*'تعداد شعب'!K4</f>
        <v>546.95352572039019</v>
      </c>
      <c r="L4" s="12">
        <f>'تعداد شعب'!$B$4/'تعداد شعب'!$AG$4*'تعداد شعب'!L4</f>
        <v>315.73200704648838</v>
      </c>
      <c r="M4" s="12">
        <f>'تعداد شعب'!$B$4/'تعداد شعب'!$AG$4*'تعداد شعب'!M4</f>
        <v>997.95029254246617</v>
      </c>
      <c r="N4" s="12">
        <f>'تعداد شعب'!$B$4/'تعداد شعب'!$AG$4*'تعداد شعب'!N4</f>
        <v>0</v>
      </c>
      <c r="O4" s="12">
        <f>'تعداد شعب'!$B$4/'تعداد شعب'!$AG$4*'تعداد شعب'!O4</f>
        <v>19.791081522777276</v>
      </c>
      <c r="P4" s="12">
        <f>'تعداد شعب'!$B$4/'تعداد شعب'!$AG$4*'تعداد شعب'!P4</f>
        <v>0</v>
      </c>
      <c r="Q4" s="12">
        <f>'تعداد شعب'!$B$4/'تعداد شعب'!$AG$4*'تعداد شعب'!Q4</f>
        <v>0</v>
      </c>
      <c r="R4" s="12">
        <f>'تعداد شعب'!$B$4/'تعداد شعب'!$AG$4*'تعداد شعب'!R4</f>
        <v>54.164163370994785</v>
      </c>
      <c r="S4" s="12">
        <f>'تعداد شعب'!$B$4/'تعداد شعب'!$AG$4*'تعداد شعب'!S4</f>
        <v>8.3962164036024802</v>
      </c>
      <c r="T4" s="12">
        <f>'تعداد شعب'!$B$4/'تعداد شعب'!$AG$4*'تعداد شعب'!T4</f>
        <v>0</v>
      </c>
      <c r="U4" s="12">
        <f>'تعداد شعب'!$B$4/'تعداد شعب'!$AG$4*'تعداد شعب'!U4</f>
        <v>0</v>
      </c>
      <c r="V4" s="12">
        <f>'تعداد شعب'!$B$4/'تعداد شعب'!$AG$4*'تعداد شعب'!V4</f>
        <v>0</v>
      </c>
      <c r="W4" s="12">
        <f>'تعداد شعب'!$B$4/'تعداد شعب'!$AG$4*'تعداد شعب'!W4</f>
        <v>0</v>
      </c>
      <c r="X4" s="12">
        <f>'تعداد شعب'!$B$4/'تعداد شعب'!$AG$4*'تعداد شعب'!X4</f>
        <v>0</v>
      </c>
      <c r="Y4" s="12">
        <f>'تعداد شعب'!$B$4/'تعداد شعب'!$AG$4*'تعداد شعب'!Y4</f>
        <v>0</v>
      </c>
      <c r="Z4" s="12">
        <f>'تعداد شعب'!$B$4/'تعداد شعب'!$AG$4*'تعداد شعب'!Z4</f>
        <v>0</v>
      </c>
      <c r="AA4" s="12">
        <f>'تعداد شعب'!$B$4/'تعداد شعب'!$AG$4*'تعداد شعب'!AA4</f>
        <v>0</v>
      </c>
      <c r="AB4" s="12">
        <f>'تعداد شعب'!$B$4/'تعداد شعب'!$AG$4*'تعداد شعب'!AB4</f>
        <v>25.702703276334127</v>
      </c>
      <c r="AC4" s="12">
        <f>'تعداد شعب'!$B$4/'تعداد شعب'!$AG$4*'تعداد شعب'!AC4</f>
        <v>0</v>
      </c>
      <c r="AD4" s="12"/>
      <c r="AE4" s="12">
        <f>'تعداد شعب'!B4/'تعداد شعب'!AG4*'تعداد شعب'!AE4</f>
        <v>0</v>
      </c>
      <c r="AF4" s="12">
        <f>'تعداد شعب'!B4/'تعداد شعب'!AG4*'تعداد شعب'!AF4</f>
        <v>0</v>
      </c>
    </row>
    <row r="5" spans="1:32" ht="27.75" customHeight="1">
      <c r="A5" s="10" t="s">
        <v>1</v>
      </c>
      <c r="B5" s="30">
        <f t="shared" ref="B5:B34" si="0">SUM(C5:AF5)</f>
        <v>2008.8817943424306</v>
      </c>
      <c r="C5" s="12">
        <f>'تعداد شعب'!$B$5/'تعداد شعب'!$AG$5*'تعداد شعب'!C5</f>
        <v>0</v>
      </c>
      <c r="D5" s="12">
        <f>'تعداد شعب'!$B$5/'تعداد شعب'!$AG$5*'تعداد شعب'!D5</f>
        <v>126.17511948401469</v>
      </c>
      <c r="E5" s="12">
        <f>'تعداد شعب'!$B$5/'تعداد شعب'!$AG$5*'تعداد شعب'!E5</f>
        <v>0</v>
      </c>
      <c r="F5" s="12">
        <f>'تعداد شعب'!$B$5/'تعداد شعب'!$AG$5*'تعداد شعب'!F5</f>
        <v>0</v>
      </c>
      <c r="G5" s="12">
        <f>'تعداد شعب'!$B$5/'تعداد شعب'!$AG$5*'تعداد شعب'!G5</f>
        <v>0</v>
      </c>
      <c r="H5" s="12">
        <f>'تعداد شعب'!$B$5/'تعداد شعب'!$AG$5*'تعداد شعب'!H5</f>
        <v>20.192798478028863</v>
      </c>
      <c r="I5" s="12">
        <f>'تعداد شعب'!$B$5/'تعداد شعب'!$AG$5*'تعداد شعب'!I5</f>
        <v>0</v>
      </c>
      <c r="J5" s="12">
        <f>'تعداد شعب'!$B$4/'تعداد شعب'!$AG$4*'تعداد شعب'!J5</f>
        <v>129.54162451272398</v>
      </c>
      <c r="K5" s="12">
        <f>'تعداد شعب'!$B$5/'تعداد شعب'!$AG$5*'تعداد شعب'!K5</f>
        <v>654.72460674678678</v>
      </c>
      <c r="L5" s="12">
        <f>'تعداد شعب'!$B$5/'تعداد شعب'!$AG$5*'تعداد شعب'!L5</f>
        <v>345.11762795229924</v>
      </c>
      <c r="M5" s="12">
        <f>'تعداد شعب'!$B$5/'تعداد شعب'!$AG$5*'تعداد شعب'!M5</f>
        <v>652.38272005939405</v>
      </c>
      <c r="N5" s="12">
        <f>'تعداد شعب'!$B$5/'تعداد شعب'!$AG$5*'تعداد شعب'!N5</f>
        <v>0</v>
      </c>
      <c r="O5" s="12">
        <f>'تعداد شعب'!$B$5/'تعداد شعب'!$AG$5*'تعداد شعب'!O5</f>
        <v>0</v>
      </c>
      <c r="P5" s="12">
        <f>'تعداد شعب'!$B$5/'تعداد شعب'!$AG$5*'تعداد شعب'!P5</f>
        <v>0</v>
      </c>
      <c r="Q5" s="12">
        <f>'تعداد شعب'!$B$5/'تعداد شعب'!$AG$5*'تعداد شعب'!Q5</f>
        <v>59.264071272794773</v>
      </c>
      <c r="R5" s="12">
        <f>'تعداد شعب'!$B$5/'تعداد شعب'!$AG$5*'تعداد شعب'!R5</f>
        <v>15.628509117906367</v>
      </c>
      <c r="S5" s="12">
        <f>'تعداد شعب'!$B$5/'تعداد شعب'!$AG$5*'تعداد شعب'!S5</f>
        <v>5.8547167184817415</v>
      </c>
      <c r="T5" s="12">
        <f>'تعداد شعب'!$B$5/'تعداد شعب'!$AG$5*'تعداد شعب'!T5</f>
        <v>0</v>
      </c>
      <c r="U5" s="12">
        <f>'تعداد شعب'!$B$5/'تعداد شعب'!$AG$5*'تعداد شعب'!U5</f>
        <v>0</v>
      </c>
      <c r="V5" s="12">
        <f>'تعداد شعب'!$B$5/'تعداد شعب'!$AG$5*'تعداد شعب'!V5</f>
        <v>0</v>
      </c>
      <c r="W5" s="12">
        <f>'تعداد شعب'!$B$5/'تعداد شعب'!$AG$5*'تعداد شعب'!W5</f>
        <v>0</v>
      </c>
      <c r="X5" s="12">
        <f>'تعداد شعب'!$B$5/'تعداد شعب'!$AG$5*'تعداد شعب'!X5</f>
        <v>0</v>
      </c>
      <c r="Y5" s="12">
        <f>'تعداد شعب'!$B$5/'تعداد شعب'!$AG$5*'تعداد شعب'!Y5</f>
        <v>0</v>
      </c>
      <c r="Z5" s="12">
        <f>'تعداد شعب'!$B$5/'تعداد شعب'!$AG$5*'تعداد شعب'!Z5</f>
        <v>0</v>
      </c>
      <c r="AA5" s="12">
        <f>'تعداد شعب'!$B$5/'تعداد شعب'!$AG$5*'تعداد شعب'!AA5</f>
        <v>0</v>
      </c>
      <c r="AB5" s="12">
        <f>'تعداد شعب'!$B$5/'تعداد شعب'!$AG$5*'تعداد شعب'!AB5</f>
        <v>0</v>
      </c>
      <c r="AC5" s="12">
        <f>'تعداد شعب'!$B$5/'تعداد شعب'!$AG$5*'تعداد شعب'!AC5</f>
        <v>0</v>
      </c>
      <c r="AD5" s="12">
        <f>'تعداد شعب'!$B$5/'تعداد شعب'!$AG$5*'تعداد شعب'!AD5</f>
        <v>0</v>
      </c>
      <c r="AE5" s="12">
        <f>'تعداد شعب'!B5/'تعداد شعب'!AG5*'تعداد شعب'!AE5</f>
        <v>0</v>
      </c>
      <c r="AF5" s="12">
        <f>'تعداد شعب'!B5/'تعداد شعب'!AG5*'تعداد شعب'!AF5</f>
        <v>0</v>
      </c>
    </row>
    <row r="6" spans="1:32" ht="27.75" customHeight="1">
      <c r="A6" s="10" t="s">
        <v>2</v>
      </c>
      <c r="B6" s="30">
        <f t="shared" si="0"/>
        <v>818.06005053026013</v>
      </c>
      <c r="C6" s="12">
        <f>'تعداد شعب'!$B$6/'تعداد شعب'!$AG$6*'تعداد شعب'!C6</f>
        <v>0</v>
      </c>
      <c r="D6" s="12">
        <f>'تعداد شعب'!$B$6/'تعداد شعب'!$AG$6*'تعداد شعب'!D6</f>
        <v>0</v>
      </c>
      <c r="E6" s="12">
        <f>'تعداد شعب'!$B$6/'تعداد شعب'!$AG$6*'تعداد شعب'!E6</f>
        <v>0</v>
      </c>
      <c r="F6" s="12">
        <f>'تعداد شعب'!$B$6/'تعداد شعب'!$AG$6*'تعداد شعب'!F6</f>
        <v>47.882184545289597</v>
      </c>
      <c r="G6" s="12">
        <f>'تعداد شعب'!$B$6/'تعداد شعب'!$AG$6*'تعداد شعب'!G6</f>
        <v>0</v>
      </c>
      <c r="H6" s="12">
        <f>'تعداد شعب'!$B$6/'تعداد شعب'!$AG$6*'تعداد شعب'!H6</f>
        <v>0</v>
      </c>
      <c r="I6" s="12">
        <f>'تعداد شعب'!$B$6/'تعداد شعب'!$AG$6*'تعداد شعب'!I6</f>
        <v>38.305747636231679</v>
      </c>
      <c r="J6" s="12">
        <f>'تعداد شعب'!$B$4/'تعداد شعب'!$AG$4*'تعداد شعب'!J6</f>
        <v>135.71027329904419</v>
      </c>
      <c r="K6" s="12">
        <f>'تعداد شعب'!$B$6/'تعداد شعب'!$AG$6*'تعداد شعب'!K6</f>
        <v>217.72070237687237</v>
      </c>
      <c r="L6" s="12">
        <f>'تعداد شعب'!$B$6/'تعداد شعب'!$AG$6*'تعداد شعب'!L6</f>
        <v>73.37023970324374</v>
      </c>
      <c r="M6" s="12">
        <f>'تعداد شعب'!$B$6/'تعداد شعب'!$AG$6*'تعداد شعب'!M6</f>
        <v>297.93359272624639</v>
      </c>
      <c r="N6" s="12">
        <f>'تعداد شعب'!$B$6/'تعداد شعب'!$AG$6*'تعداد شعب'!N6</f>
        <v>0</v>
      </c>
      <c r="O6" s="12">
        <f>'تعداد شعب'!$B$6/'تعداد شعب'!$AG$6*'تعداد شعب'!O6</f>
        <v>0</v>
      </c>
      <c r="P6" s="12">
        <f>'تعداد شعب'!$B$6/'تعداد شعب'!$AG$6*'تعداد شعب'!P6</f>
        <v>0</v>
      </c>
      <c r="Q6" s="12">
        <f>'تعداد شعب'!$B$6/'تعداد شعب'!$AG$6*'تعداد شعب'!Q6</f>
        <v>0</v>
      </c>
      <c r="R6" s="12">
        <f>'تعداد شعب'!$B$6/'تعداد شعب'!$AG$6*'تعداد شعب'!R6</f>
        <v>7.137310243332057</v>
      </c>
      <c r="S6" s="12">
        <f>'تعداد شعب'!$B$6/'تعداد شعب'!$AG$6*'تعداد شعب'!S6</f>
        <v>0</v>
      </c>
      <c r="T6" s="12">
        <f>'تعداد شعب'!$B$6/'تعداد شعب'!$AG$6*'تعداد شعب'!T6</f>
        <v>0</v>
      </c>
      <c r="U6" s="12">
        <f>'تعداد شعب'!$B$6/'تعداد شعب'!$AG$6*'تعداد شعب'!U6</f>
        <v>0</v>
      </c>
      <c r="V6" s="12">
        <f>'تعداد شعب'!$B$6/'تعداد شعب'!$AG$6*'تعداد شعب'!V6</f>
        <v>0</v>
      </c>
      <c r="W6" s="12">
        <f>'تعداد شعب'!$B$6/'تعداد شعب'!$AG$6*'تعداد شعب'!W6</f>
        <v>0</v>
      </c>
      <c r="X6" s="12">
        <f>'تعداد شعب'!$B$6/'تعداد شعب'!$AG$6*'تعداد شعب'!X6</f>
        <v>0</v>
      </c>
      <c r="Y6" s="12">
        <f>'تعداد شعب'!$B$6/'تعداد شعب'!$AG$6*'تعداد شعب'!Y6</f>
        <v>0</v>
      </c>
      <c r="Z6" s="12">
        <f>'تعداد شعب'!$B$6/'تعداد شعب'!$AG$6*'تعداد شعب'!Z6</f>
        <v>0</v>
      </c>
      <c r="AA6" s="12">
        <f>'تعداد شعب'!$B$6/'تعداد شعب'!$AG$6*'تعداد شعب'!AA6</f>
        <v>0</v>
      </c>
      <c r="AB6" s="12">
        <f>'تعداد شعب'!$B$6/'تعداد شعب'!$AG$6*'تعداد شعب'!AB6</f>
        <v>0</v>
      </c>
      <c r="AC6" s="12">
        <f>'تعداد شعب'!$B$6/'تعداد شعب'!$AG$6*'تعداد شعب'!AC6</f>
        <v>0</v>
      </c>
      <c r="AD6" s="12">
        <f>'تعداد شعب'!$B$6/'تعداد شعب'!$AG$6*'تعداد شعب'!AD6</f>
        <v>0</v>
      </c>
      <c r="AE6" s="12">
        <f>'تعداد شعب'!B6/'تعداد شعب'!AG6*'تعداد شعب'!AE6</f>
        <v>0</v>
      </c>
      <c r="AF6" s="12">
        <f>'تعداد شعب'!B6/'تعداد شعب'!AG6*'تعداد شعب'!AF6</f>
        <v>0</v>
      </c>
    </row>
    <row r="7" spans="1:32" ht="27.75" customHeight="1">
      <c r="A7" s="10" t="s">
        <v>3</v>
      </c>
      <c r="B7" s="30">
        <f t="shared" si="0"/>
        <v>3123.4221951198151</v>
      </c>
      <c r="C7" s="12">
        <f>'تعداد شعب'!$B$7/'تعداد شعب'!$AG$7*'تعداد شعب'!C7</f>
        <v>0</v>
      </c>
      <c r="D7" s="12">
        <f>'تعداد شعب'!$B$7/'تعداد شعب'!$AG$7*'تعداد شعب'!D7</f>
        <v>152.86686282400109</v>
      </c>
      <c r="E7" s="12">
        <f>'تعداد شعب'!$B$7/'تعداد شعب'!$AG$7*'تعداد شعب'!E7</f>
        <v>69.002403358056043</v>
      </c>
      <c r="F7" s="12">
        <f>'تعداد شعب'!$B$7/'تعداد شعب'!$AG$7*'تعداد شعب'!F7</f>
        <v>0</v>
      </c>
      <c r="G7" s="12">
        <f>'تعداد شعب'!$B$7/'تعداد شعب'!$AG$7*'تعداد شعب'!G7</f>
        <v>0</v>
      </c>
      <c r="H7" s="12">
        <f>'تعداد شعب'!$B$7/'تعداد شعب'!$AG$7*'تعداد شعب'!H7</f>
        <v>0</v>
      </c>
      <c r="I7" s="12">
        <f>'تعداد شعب'!$B$7/'تعداد شعب'!$AG$7*'تعداد شعب'!I7</f>
        <v>20.700721007416814</v>
      </c>
      <c r="J7" s="12">
        <f>'تعداد شعب'!$B$4/'تعداد شعب'!$AG$4*'تعداد شعب'!J7</f>
        <v>189.99438261866183</v>
      </c>
      <c r="K7" s="12">
        <f>'تعداد شعب'!$B$7/'تعداد شعب'!$AG$7*'تعداد شعب'!K7</f>
        <v>941.26355349963615</v>
      </c>
      <c r="L7" s="12">
        <f>'تعداد شعب'!$B$7/'تعداد شعب'!$AG$7*'تعداد شعب'!L7</f>
        <v>452.30190755008829</v>
      </c>
      <c r="M7" s="12">
        <f>'تعداد شعب'!$B$7/'تعداد شعب'!$AG$7*'تعداد شعب'!M7</f>
        <v>858.69657512247511</v>
      </c>
      <c r="N7" s="12">
        <f>'تعداد شعب'!$B$7/'تعداد شعب'!$AG$7*'تعداد شعب'!N7</f>
        <v>0</v>
      </c>
      <c r="O7" s="12">
        <f>'تعداد شعب'!$B$7/'تعداد شعب'!$AG$7*'تعداد شعب'!O7</f>
        <v>81.741308593389462</v>
      </c>
      <c r="P7" s="12">
        <f>'تعداد شعب'!$B$7/'تعداد شعب'!$AG$7*'تعداد شعب'!P7</f>
        <v>0</v>
      </c>
      <c r="Q7" s="12">
        <f>'تعداد شعب'!$B$7/'تعداد شعب'!$AG$7*'تعداد شعب'!Q7</f>
        <v>58.504601821531274</v>
      </c>
      <c r="R7" s="12">
        <f>'تعداد شعب'!$B$7/'تعداد شعب'!$AG$7*'تعداد شعب'!R7</f>
        <v>7.7141148369519073</v>
      </c>
      <c r="S7" s="12">
        <f>'تعداد شعب'!$B$7/'تعداد شعب'!$AG$7*'تعداد شعب'!S7</f>
        <v>0</v>
      </c>
      <c r="T7" s="12">
        <f>'تعداد شعب'!$B$7/'تعداد شعب'!$AG$7*'تعداد شعب'!T7</f>
        <v>0</v>
      </c>
      <c r="U7" s="12">
        <f>'تعداد شعب'!$B$7/'تعداد شعب'!$AG$7*'تعداد شعب'!U7</f>
        <v>0</v>
      </c>
      <c r="V7" s="12">
        <f>'تعداد شعب'!$B$7/'تعداد شعب'!$AG$7*'تعداد شعب'!V7</f>
        <v>0</v>
      </c>
      <c r="W7" s="12">
        <f>'تعداد شعب'!$B$7/'تعداد شعب'!$AG$7*'تعداد شعب'!W7</f>
        <v>0</v>
      </c>
      <c r="X7" s="12">
        <f>'تعداد شعب'!$B$7/'تعداد شعب'!$AG$7*'تعداد شعب'!X7</f>
        <v>0</v>
      </c>
      <c r="Y7" s="12">
        <f>'تعداد شعب'!$B$7/'تعداد شعب'!$AG$7*'تعداد شعب'!Y7</f>
        <v>0</v>
      </c>
      <c r="Z7" s="12">
        <f>'تعداد شعب'!$B$7/'تعداد شعب'!$AG$7*'تعداد شعب'!Z7</f>
        <v>0</v>
      </c>
      <c r="AA7" s="12">
        <f>'تعداد شعب'!$B$7/'تعداد شعب'!$AG$7*'تعداد شعب'!AA7</f>
        <v>147.20512716385289</v>
      </c>
      <c r="AB7" s="12">
        <f>'تعداد شعب'!$B$7/'تعداد شعب'!$AG$7*'تعداد شعب'!AB7</f>
        <v>0</v>
      </c>
      <c r="AC7" s="12">
        <f>'تعداد شعب'!$B$7/'تعداد شعب'!$AG$7*'تعداد شعب'!AC7</f>
        <v>143.43063672375408</v>
      </c>
      <c r="AD7" s="12">
        <f>'تعداد شعب'!$B$7/'تعداد شعب'!$AG$7*'تعداد شعب'!AD7</f>
        <v>0</v>
      </c>
      <c r="AE7" s="12">
        <f>'تعداد شعب'!B7/'تعداد شعب'!AG7*'تعداد شعب'!AE7</f>
        <v>0</v>
      </c>
      <c r="AF7" s="12">
        <f>'تعداد شعب'!B7/'تعداد شعب'!AG7*'تعداد شعب'!AF7</f>
        <v>0</v>
      </c>
    </row>
    <row r="8" spans="1:32" ht="27.75" customHeight="1">
      <c r="A8" s="10" t="s">
        <v>4</v>
      </c>
      <c r="B8" s="11">
        <f t="shared" si="0"/>
        <v>1699.8950765254385</v>
      </c>
      <c r="C8" s="12">
        <f>'تعداد شعب'!$B$8/'تعداد شعب'!$AG$8*'تعداد شعب'!C8</f>
        <v>29.85028988251096</v>
      </c>
      <c r="D8" s="12">
        <f>'تعداد شعب'!$B$8/'تعداد شعب'!$AG$8*'تعداد شعب'!D8</f>
        <v>281.44559032081764</v>
      </c>
      <c r="E8" s="12">
        <f>'تعداد شعب'!$B$8/'تعداد شعب'!$AG$8*'تعداد شعب'!E8</f>
        <v>0</v>
      </c>
      <c r="F8" s="12">
        <f>'تعداد شعب'!$B$8/'تعداد شعب'!$AG$8*'تعداد شعب'!F8</f>
        <v>0</v>
      </c>
      <c r="G8" s="12">
        <f>'تعداد شعب'!$B$8/'تعداد شعب'!$AG$8*'تعداد شعب'!G8</f>
        <v>0</v>
      </c>
      <c r="H8" s="12">
        <f>'تعداد شعب'!$B$8/'تعداد شعب'!$AG$8*'تعداد شعب'!H8</f>
        <v>0</v>
      </c>
      <c r="I8" s="12">
        <f>'تعداد شعب'!$B$8/'تعداد شعب'!$AG$8*'تعداد شعب'!I8</f>
        <v>51.971486849014617</v>
      </c>
      <c r="J8" s="12">
        <f>'تعداد شعب'!$B$4/'تعداد شعب'!$AG$4*'تعداد شعب'!J8</f>
        <v>135.71027329904419</v>
      </c>
      <c r="K8" s="12">
        <f>'تعداد شعب'!$B$8/'تعداد شعب'!$AG$8*'تعداد شعب'!K8</f>
        <v>277.27602601976844</v>
      </c>
      <c r="L8" s="12">
        <f>'تعداد شعب'!$B$8/'تعداد شعب'!$AG$8*'تعداد شعب'!L8</f>
        <v>179.91906866089639</v>
      </c>
      <c r="M8" s="12">
        <f>'تعداد شعب'!$B$8/'تعداد شعب'!$AG$8*'تعداد شعب'!M8</f>
        <v>452.72939655141619</v>
      </c>
      <c r="N8" s="12">
        <f>'تعداد شعب'!$B$8/'تعداد شعب'!$AG$8*'تعداد شعب'!N8</f>
        <v>28.073486913313879</v>
      </c>
      <c r="O8" s="12">
        <f>'تعداد شعب'!$B$8/'تعداد شعب'!$AG$8*'تعداد شعب'!O8</f>
        <v>13.681382862817523</v>
      </c>
      <c r="P8" s="12">
        <f>'تعداد شعب'!$B$8/'تعداد شعب'!$AG$8*'تعداد شعب'!P8</f>
        <v>0</v>
      </c>
      <c r="Q8" s="12">
        <f>'تعداد شعب'!$B$8/'تعداد شعب'!$AG$8*'تعداد شعب'!Q8</f>
        <v>29.376475757391738</v>
      </c>
      <c r="R8" s="12">
        <f>'تعداد شعب'!$B$8/'تعداد شعب'!$AG$8*'تعداد شعب'!R8</f>
        <v>11.620291418548911</v>
      </c>
      <c r="S8" s="12">
        <f>'تعداد شعب'!$B$8/'تعداد شعب'!$AG$8*'تعداد شعب'!S8</f>
        <v>20.314780614486622</v>
      </c>
      <c r="T8" s="12">
        <f>'تعداد شعب'!$B$8/'تعداد شعب'!$AG$8*'تعداد شعب'!T8</f>
        <v>0</v>
      </c>
      <c r="U8" s="12">
        <f>'تعداد شعب'!$B$8/'تعداد شعب'!$AG$8*'تعداد شعب'!U8</f>
        <v>40.866468291532854</v>
      </c>
      <c r="V8" s="12">
        <f>'تعداد شعب'!$B$8/'تعداد شعب'!$AG$8*'تعداد شعب'!V8</f>
        <v>0</v>
      </c>
      <c r="W8" s="12">
        <f>'تعداد شعب'!$B$8/'تعداد شعب'!$AG$8*'تعداد شعب'!W8</f>
        <v>0</v>
      </c>
      <c r="X8" s="12">
        <f>'تعداد شعب'!$B$8/'تعداد شعب'!$AG$8*'تعداد شعب'!X8</f>
        <v>0</v>
      </c>
      <c r="Y8" s="12">
        <f>'تعداد شعب'!$B$8/'تعداد شعب'!$AG$8*'تعداد شعب'!Y8</f>
        <v>0</v>
      </c>
      <c r="Z8" s="12">
        <f>'تعداد شعب'!$B$8/'تعداد شعب'!$AG$8*'تعداد شعب'!Z8</f>
        <v>0</v>
      </c>
      <c r="AA8" s="12">
        <f>'تعداد شعب'!$B$8/'تعداد شعب'!$AG$8*'تعداد شعب'!AA8</f>
        <v>0</v>
      </c>
      <c r="AB8" s="12">
        <f>'تعداد شعب'!$B$8/'تعداد شعب'!$AG$8*'تعداد شعب'!AB8</f>
        <v>4.4420074229927025</v>
      </c>
      <c r="AC8" s="12">
        <f>'تعداد شعب'!$B$8/'تعداد شعب'!$AG$8*'تعداد شعب'!AC8</f>
        <v>0</v>
      </c>
      <c r="AD8" s="12">
        <f>'تعداد شعب'!$B$8/'تعداد شعب'!$AG$8*'تعداد شعب'!AD8</f>
        <v>0</v>
      </c>
      <c r="AE8" s="12">
        <f>'تعداد شعب'!B8/'تعداد شعب'!AG8*'تعداد شعب'!AE8</f>
        <v>12.911434909498789</v>
      </c>
      <c r="AF8" s="12">
        <f>'تعداد شعب'!B8/'تعداد شعب'!AG8*'تعداد شعب'!AF8</f>
        <v>129.70661675138689</v>
      </c>
    </row>
    <row r="9" spans="1:32" ht="27.75" customHeight="1">
      <c r="A9" s="10" t="s">
        <v>5</v>
      </c>
      <c r="B9" s="30">
        <f t="shared" si="0"/>
        <v>341.6158988231283</v>
      </c>
      <c r="C9" s="12">
        <f>'تعداد شعب'!$B$9/'تعداد شعب'!$AG$9*'تعداد شعب'!C9</f>
        <v>0</v>
      </c>
      <c r="D9" s="12">
        <f>'تعداد شعب'!$B$9/'تعداد شعب'!$AG$9*'تعداد شعب'!D9</f>
        <v>0</v>
      </c>
      <c r="E9" s="12">
        <f>'تعداد شعب'!$B$9/'تعداد شعب'!$AG$9*'تعداد شعب'!E9</f>
        <v>0</v>
      </c>
      <c r="F9" s="12">
        <f>'تعداد شعب'!$B$9/'تعداد شعب'!$AG$9*'تعداد شعب'!F9</f>
        <v>0</v>
      </c>
      <c r="G9" s="12">
        <f>'تعداد شعب'!$B$9/'تعداد شعب'!$AG$9*'تعداد شعب'!G9</f>
        <v>0</v>
      </c>
      <c r="H9" s="12">
        <f>'تعداد شعب'!$B$9/'تعداد شعب'!$AG$9*'تعداد شعب'!H9</f>
        <v>0</v>
      </c>
      <c r="I9" s="12">
        <f>'تعداد شعب'!$B$9/'تعداد شعب'!$AG$9*'تعداد شعب'!I9</f>
        <v>55.095913261050882</v>
      </c>
      <c r="J9" s="12">
        <f>'تعداد شعب'!$B$4/'تعداد شعب'!$AG$4*'تعداد شعب'!J9</f>
        <v>67.855136649522095</v>
      </c>
      <c r="K9" s="12">
        <f>'تعداد شعب'!$B$9/'تعداد شعب'!$AG$9*'تعداد شعب'!K9</f>
        <v>125.26079425161994</v>
      </c>
      <c r="L9" s="12">
        <f>'تعداد شعب'!$B$9/'تعداد شعب'!$AG$9*'تعداد شعب'!L9</f>
        <v>0</v>
      </c>
      <c r="M9" s="12">
        <f>'تعداد شعب'!$B$9/'تعداد شعب'!$AG$9*'تعداد شعب'!M9</f>
        <v>85.70475396163468</v>
      </c>
      <c r="N9" s="12">
        <f>'تعداد شعب'!$B$9/'تعداد شعب'!$AG$9*'تعداد شعب'!N9</f>
        <v>0</v>
      </c>
      <c r="O9" s="12">
        <f>'تعداد شعب'!$B$9/'تعداد شعب'!$AG$9*'تعداد شعب'!O9</f>
        <v>0</v>
      </c>
      <c r="P9" s="12">
        <f>'تعداد شعب'!$B$9/'تعداد شعب'!$AG$9*'تعداد شعب'!P9</f>
        <v>0</v>
      </c>
      <c r="Q9" s="12">
        <f>'تعداد شعب'!$B$9/'تعداد شعب'!$AG$9*'تعداد شعب'!Q9</f>
        <v>0</v>
      </c>
      <c r="R9" s="12">
        <f>'تعداد شعب'!$B$9/'تعداد شعب'!$AG$9*'تعداد شعب'!R9</f>
        <v>7.6993006993007009</v>
      </c>
      <c r="S9" s="12">
        <f>'تعداد شعب'!$B$9/'تعداد شعب'!$AG$9*'تعداد شعب'!S9</f>
        <v>0</v>
      </c>
      <c r="T9" s="12">
        <f>'تعداد شعب'!$B$9/'تعداد شعب'!$AG$9*'تعداد شعب'!T9</f>
        <v>0</v>
      </c>
      <c r="U9" s="12">
        <f>'تعداد شعب'!$B$9/'تعداد شعب'!$AG$9*'تعداد شعب'!U9</f>
        <v>0</v>
      </c>
      <c r="V9" s="12">
        <f>'تعداد شعب'!$B$9/'تعداد شعب'!$AG$9*'تعداد شعب'!V9</f>
        <v>0</v>
      </c>
      <c r="W9" s="12">
        <f>'تعداد شعب'!$B$9/'تعداد شعب'!$AG$9*'تعداد شعب'!W9</f>
        <v>0</v>
      </c>
      <c r="X9" s="12">
        <f>'تعداد شعب'!$B$9/'تعداد شعب'!$AG$9*'تعداد شعب'!X9</f>
        <v>0</v>
      </c>
      <c r="Y9" s="12">
        <f>'تعداد شعب'!$B$9/'تعداد شعب'!$AG$9*'تعداد شعب'!Y9</f>
        <v>0</v>
      </c>
      <c r="Z9" s="12">
        <f>'تعداد شعب'!$B$9/'تعداد شعب'!$AG$9*'تعداد شعب'!Z9</f>
        <v>0</v>
      </c>
      <c r="AA9" s="12">
        <f>'تعداد شعب'!$B$9/'تعداد شعب'!$AG$9*'تعداد شعب'!AA9</f>
        <v>0</v>
      </c>
      <c r="AB9" s="12">
        <f>'تعداد شعب'!$B$9/'تعداد شعب'!$AG$9*'تعداد شعب'!AB9</f>
        <v>0</v>
      </c>
      <c r="AC9" s="12">
        <f>'تعداد شعب'!$B$9/'تعداد شعب'!$AG$9*'تعداد شعب'!AC9</f>
        <v>0</v>
      </c>
      <c r="AD9" s="12">
        <f>'تعداد شعب'!$B$9/'تعداد شعب'!$AG$9*'تعداد شعب'!AD9</f>
        <v>0</v>
      </c>
      <c r="AE9" s="12">
        <f>'تعداد شعب'!B9/'تعداد شعب'!AG9*'تعداد شعب'!AE9</f>
        <v>0</v>
      </c>
      <c r="AF9" s="12">
        <f>'تعداد شعب'!B9/'تعداد شعب'!AG9*'تعداد شعب'!AF9</f>
        <v>0</v>
      </c>
    </row>
    <row r="10" spans="1:32" ht="27.75" customHeight="1">
      <c r="A10" s="10" t="s">
        <v>6</v>
      </c>
      <c r="B10" s="30">
        <f t="shared" si="0"/>
        <v>719.00579837911857</v>
      </c>
      <c r="C10" s="12">
        <f>'تعداد شعب'!$B$10/'تعداد شعب'!$AG$10*'تعداد شعب'!C10</f>
        <v>0</v>
      </c>
      <c r="D10" s="12">
        <f>'تعداد شعب'!$B$10/'تعداد شعب'!$AG$10*'تعداد شعب'!D10</f>
        <v>0</v>
      </c>
      <c r="E10" s="12">
        <f>'تعداد شعب'!$B$10/'تعداد شعب'!$AG$10*'تعداد شعب'!E10</f>
        <v>0</v>
      </c>
      <c r="F10" s="12">
        <f>'تعداد شعب'!$B$10/'تعداد شعب'!$AG$10*'تعداد شعب'!F10</f>
        <v>0</v>
      </c>
      <c r="G10" s="12">
        <f>'تعداد شعب'!$B$10/'تعداد شعب'!$AG$10*'تعداد شعب'!G10</f>
        <v>0</v>
      </c>
      <c r="H10" s="12">
        <f>'تعداد شعب'!$B$10/'تعداد شعب'!$AG$10*'تعداد شعب'!H10</f>
        <v>0</v>
      </c>
      <c r="I10" s="12">
        <f>'تعداد شعب'!$B$10/'تعداد شعب'!$AG$10*'تعداد شعب'!I10</f>
        <v>0</v>
      </c>
      <c r="J10" s="12">
        <f>'تعداد شعب'!$B$4/'تعداد شعب'!$AG$4*'تعداد شعب'!J10</f>
        <v>54.284109319617677</v>
      </c>
      <c r="K10" s="12">
        <f>'تعداد شعب'!$B$10/'تعداد شعب'!$AG$10*'تعداد شعب'!K10</f>
        <v>134.60129122317218</v>
      </c>
      <c r="L10" s="12">
        <f>'تعداد شعب'!$B$10/'تعداد شعب'!$AG$10*'تعداد شعب'!L10</f>
        <v>30.413540394346533</v>
      </c>
      <c r="M10" s="12">
        <f>'تعداد شعب'!$B$10/'تعداد شعب'!$AG$10*'تعداد شعب'!M10</f>
        <v>317.57110451928111</v>
      </c>
      <c r="N10" s="12">
        <f>'تعداد شعب'!$B$10/'تعداد شعب'!$AG$10*'تعداد شعب'!N10</f>
        <v>0</v>
      </c>
      <c r="O10" s="12">
        <f>'تعداد شعب'!$B$10/'تعداد شعب'!$AG$10*'تعداد شعب'!O10</f>
        <v>0</v>
      </c>
      <c r="P10" s="12">
        <f>'تعداد شعب'!$B$10/'تعداد شعب'!$AG$10*'تعداد شعب'!P10</f>
        <v>0</v>
      </c>
      <c r="Q10" s="12">
        <f>'تعداد شعب'!$B$10/'تعداد شعب'!$AG$10*'تعداد شعب'!Q10</f>
        <v>0</v>
      </c>
      <c r="R10" s="12">
        <f>'تعداد شعب'!$B$10/'تعداد شعب'!$AG$10*'تعداد شعب'!R10</f>
        <v>5.7058105042749965</v>
      </c>
      <c r="S10" s="12">
        <f>'تعداد شعب'!$B$10/'تعداد شعب'!$AG$10*'تعداد شعب'!S10</f>
        <v>0</v>
      </c>
      <c r="T10" s="12">
        <f>'تعداد شعب'!$B$10/'تعداد شعب'!$AG$10*'تعداد شعب'!T10</f>
        <v>85.848891990926532</v>
      </c>
      <c r="U10" s="12">
        <f>'تعداد شعب'!$B$10/'تعداد شعب'!$AG$10*'تعداد شعب'!U10</f>
        <v>0</v>
      </c>
      <c r="V10" s="12">
        <f>'تعداد شعب'!$B$10/'تعداد شعب'!$AG$10*'تعداد شعب'!V10</f>
        <v>0</v>
      </c>
      <c r="W10" s="12">
        <f>'تعداد شعب'!$B$10/'تعداد شعب'!$AG$10*'تعداد شعب'!W10</f>
        <v>0</v>
      </c>
      <c r="X10" s="12">
        <f>'تعداد شعب'!$B$10/'تعداد شعب'!$AG$10*'تعداد شعب'!X10</f>
        <v>0</v>
      </c>
      <c r="Y10" s="12">
        <f>'تعداد شعب'!$B$10/'تعداد شعب'!$AG$10*'تعداد شعب'!Y10</f>
        <v>0</v>
      </c>
      <c r="Z10" s="12">
        <f>'تعداد شعب'!$B$10/'تعداد شعب'!$AG$10*'تعداد شعب'!Z10</f>
        <v>0</v>
      </c>
      <c r="AA10" s="12">
        <f>'تعداد شعب'!$B$10/'تعداد شعب'!$AG$10*'تعداد شعب'!AA10</f>
        <v>0</v>
      </c>
      <c r="AB10" s="12">
        <f>'تعداد شعب'!$B$10/'تعداد شعب'!$AG$10*'تعداد شعب'!AB10</f>
        <v>0</v>
      </c>
      <c r="AC10" s="12">
        <f>'تعداد شعب'!$B$10/'تعداد شعب'!$AG$10*'تعداد شعب'!AC10</f>
        <v>0</v>
      </c>
      <c r="AD10" s="12">
        <f>'تعداد شعب'!$B$10/'تعداد شعب'!$AG$10*'تعداد شعب'!AD10</f>
        <v>90.581050427499562</v>
      </c>
      <c r="AE10" s="12">
        <f>'تعداد شعب'!B10/'تعداد شعب'!AG10*'تعداد شعب'!AE10</f>
        <v>0</v>
      </c>
      <c r="AF10" s="12">
        <f>'تعداد شعب'!B10/'تعداد شعب'!AG10*'تعداد شعب'!AF10</f>
        <v>0</v>
      </c>
    </row>
    <row r="11" spans="1:32" ht="27.75" customHeight="1">
      <c r="A11" s="10" t="s">
        <v>7</v>
      </c>
      <c r="B11" s="30">
        <f t="shared" si="0"/>
        <v>8876.2888051053578</v>
      </c>
      <c r="C11" s="12">
        <f>'تعداد شعب'!$B$11/'تعداد شعب'!$AG$11*'تعداد شعب'!C11</f>
        <v>146.67230776392216</v>
      </c>
      <c r="D11" s="12">
        <f>'تعداد شعب'!$B$11/'تعداد شعب'!$AG$11*'تعداد شعب'!D11</f>
        <v>227.49174265424659</v>
      </c>
      <c r="E11" s="12">
        <f>'تعداد شعب'!$B$11/'تعداد شعب'!$AG$11*'تعداد شعب'!E11</f>
        <v>291.84795932617163</v>
      </c>
      <c r="F11" s="12">
        <f>'تعداد شعب'!$B$11/'تعداد شعب'!$AG$11*'تعداد شعب'!F11</f>
        <v>0</v>
      </c>
      <c r="G11" s="12">
        <f>'تعداد شعب'!$B$11/'تعداد شعب'!$AG$11*'تعداد شعب'!G11</f>
        <v>798.21664089209332</v>
      </c>
      <c r="H11" s="12">
        <f>'تعداد شعب'!$B$11/'تعداد شعب'!$AG$11*'تعداد شعب'!H11</f>
        <v>0</v>
      </c>
      <c r="I11" s="12">
        <f>'تعداد شعب'!$B$11/'تعداد شعب'!$AG$11*'تعداد شعب'!I11</f>
        <v>340.4892858805336</v>
      </c>
      <c r="J11" s="12">
        <f>'تعداد شعب'!$B$4/'تعداد شعب'!$AG$4*'تعداد شعب'!J11</f>
        <v>1628.5232795885302</v>
      </c>
      <c r="K11" s="12">
        <f>'تعداد شعب'!$B$11/'تعداد شعب'!$AG$11*'تعداد شعب'!K11</f>
        <v>933.34806638978387</v>
      </c>
      <c r="L11" s="12">
        <f>'تعداد شعب'!$B$11/'تعداد شعب'!$AG$11*'تعداد شعب'!L11</f>
        <v>801.23489756546644</v>
      </c>
      <c r="M11" s="12">
        <f>'تعداد شعب'!$B$11/'تعداد شعب'!$AG$11*'تعداد شعب'!M11</f>
        <v>1815.9428580295121</v>
      </c>
      <c r="N11" s="12">
        <f>'تعداد شعب'!$B$11/'تعداد شعب'!$AG$11*'تعداد شعب'!N11</f>
        <v>295.58959983035334</v>
      </c>
      <c r="O11" s="12">
        <f>'تعداد شعب'!$B$11/'تعداد شعب'!$AG$11*'تعداد شعب'!O11</f>
        <v>48.017719803664995</v>
      </c>
      <c r="P11" s="12">
        <f>'تعداد شعب'!$B$11/'تعداد شعب'!$AG$11*'تعداد شعب'!P11</f>
        <v>13.63620094857326</v>
      </c>
      <c r="Q11" s="12">
        <f>'تعداد شعب'!$B$11/'تعداد شعب'!$AG$11*'تعداد شعب'!Q11</f>
        <v>288.68835178930709</v>
      </c>
      <c r="R11" s="12">
        <f>'تعداد شعب'!$B$11/'تعداد شعب'!$AG$11*'تعداد شعب'!R11</f>
        <v>72.504678214365143</v>
      </c>
      <c r="S11" s="12">
        <f>'تعداد شعب'!$B$11/'تعداد شعب'!$AG$11*'تعداد شعب'!S11</f>
        <v>759.84403883254117</v>
      </c>
      <c r="T11" s="12">
        <f>'تعداد شعب'!$B$11/'تعداد شعب'!$AG$11*'تعداد شعب'!T11</f>
        <v>0</v>
      </c>
      <c r="U11" s="12">
        <f>'تعداد شعب'!$B$11/'تعداد شعب'!$AG$11*'تعداد شعب'!U11</f>
        <v>258.17319478853642</v>
      </c>
      <c r="V11" s="12">
        <f>'تعداد شعب'!$B$11/'تعداد شعب'!$AG$11*'تعداد شعب'!V11</f>
        <v>0</v>
      </c>
      <c r="W11" s="12">
        <f>'تعداد شعب'!$B$11/'تعداد شعب'!$AG$11*'تعداد شعب'!W11</f>
        <v>0</v>
      </c>
      <c r="X11" s="12">
        <f>'تعداد شعب'!$B$11/'تعداد شعب'!$AG$11*'تعداد شعب'!X11</f>
        <v>0</v>
      </c>
      <c r="Y11" s="12">
        <f>'تعداد شعب'!$B$11/'تعداد شعب'!$AG$11*'تعداد شعب'!Y11</f>
        <v>0</v>
      </c>
      <c r="Z11" s="12">
        <f>'تعداد شعب'!$B$11/'تعداد شعب'!$AG$11*'تعداد شعب'!Z11</f>
        <v>0</v>
      </c>
      <c r="AA11" s="12">
        <f>'تعداد شعب'!$B$11/'تعداد شعب'!$AG$11*'تعداد شعب'!AA11</f>
        <v>0</v>
      </c>
      <c r="AB11" s="12">
        <f>'تعداد شعب'!$B$11/'تعداد شعب'!$AG$11*'تعداد شعب'!AB11</f>
        <v>62.360675069694793</v>
      </c>
      <c r="AC11" s="12">
        <f>'تعداد شعب'!$B$11/'تعداد شعب'!$AG$11*'تعداد شعب'!AC11</f>
        <v>0</v>
      </c>
      <c r="AD11" s="12">
        <f>'تعداد شعب'!$B$11/'تعداد شعب'!$AG$11*'تعداد شعب'!AD11</f>
        <v>0</v>
      </c>
      <c r="AE11" s="12">
        <f>'تعداد شعب'!B11/'تعداد شعب'!AG11*'تعداد شعب'!AE11</f>
        <v>81.567762991160791</v>
      </c>
      <c r="AF11" s="12">
        <f>'تعداد شعب'!B11/'تعداد شعب'!AG11*'تعداد شعب'!AF11</f>
        <v>12.139544746900585</v>
      </c>
    </row>
    <row r="12" spans="1:32" ht="27.75" customHeight="1">
      <c r="A12" s="10" t="s">
        <v>8</v>
      </c>
      <c r="B12" s="30">
        <f t="shared" si="0"/>
        <v>613.57814677776673</v>
      </c>
      <c r="C12" s="12">
        <f>'تعداد شعب'!$B$12/'تعداد شعب'!$AG$12*'تعداد شعب'!C12</f>
        <v>0</v>
      </c>
      <c r="D12" s="12">
        <f>'تعداد شعب'!$B$12/'تعداد شعب'!$AG$12*'تعداد شعب'!D12</f>
        <v>0</v>
      </c>
      <c r="E12" s="12">
        <f>'تعداد شعب'!$B$12/'تعداد شعب'!$AG$12*'تعداد شعب'!E12</f>
        <v>0</v>
      </c>
      <c r="F12" s="12">
        <f>'تعداد شعب'!$B$12/'تعداد شعب'!$AG$12*'تعداد شعب'!F12</f>
        <v>0</v>
      </c>
      <c r="G12" s="12">
        <f>'تعداد شعب'!$B$12/'تعداد شعب'!$AG$12*'تعداد شعب'!G12</f>
        <v>0</v>
      </c>
      <c r="H12" s="12">
        <f>'تعداد شعب'!$B$12/'تعداد شعب'!$AG$12*'تعداد شعب'!H12</f>
        <v>0</v>
      </c>
      <c r="I12" s="12">
        <f>'تعداد شعب'!$B$12/'تعداد شعب'!$AG$12*'تعداد شعب'!I12</f>
        <v>0</v>
      </c>
      <c r="J12" s="12">
        <f>'تعداد شعب'!$B$4/'تعداد شعب'!$AG$4*'تعداد شعب'!J12</f>
        <v>27.142054659808839</v>
      </c>
      <c r="K12" s="12">
        <f>'تعداد شعب'!$B$12/'تعداد شعب'!$AG$12*'تعداد شعب'!K12</f>
        <v>10.174237021839689</v>
      </c>
      <c r="L12" s="12">
        <f>'تعداد شعب'!$B$12/'تعداد شعب'!$AG$12*'تعداد شعب'!L12</f>
        <v>2.2409420773446107</v>
      </c>
      <c r="M12" s="12">
        <f>'تعداد شعب'!$B$12/'تعداد شعب'!$AG$12*'تعداد شعب'!M12</f>
        <v>573.28518203554904</v>
      </c>
      <c r="N12" s="12">
        <f>'تعداد شعب'!$B$12/'تعداد شعب'!$AG$12*'تعداد شعب'!N12</f>
        <v>0</v>
      </c>
      <c r="O12" s="12">
        <f>'تعداد شعب'!$B$12/'تعداد شعب'!$AG$12*'تعداد شعب'!O12</f>
        <v>0</v>
      </c>
      <c r="P12" s="12">
        <f>'تعداد شعب'!$B$12/'تعداد شعب'!$AG$12*'تعداد شعب'!P12</f>
        <v>0</v>
      </c>
      <c r="Q12" s="12">
        <f>'تعداد شعب'!$B$12/'تعداد شعب'!$AG$12*'تعداد شعب'!Q12</f>
        <v>0</v>
      </c>
      <c r="R12" s="12">
        <f>'تعداد شعب'!$B$12/'تعداد شعب'!$AG$12*'تعداد شعب'!R12</f>
        <v>0.7357309832245863</v>
      </c>
      <c r="S12" s="12">
        <f>'تعداد شعب'!$B$12/'تعداد شعب'!$AG$12*'تعداد شعب'!S12</f>
        <v>0</v>
      </c>
      <c r="T12" s="12">
        <f>'تعداد شعب'!$B$12/'تعداد شعب'!$AG$12*'تعداد شعب'!T12</f>
        <v>0</v>
      </c>
      <c r="U12" s="12">
        <f>'تعداد شعب'!$B$12/'تعداد شعب'!$AG$12*'تعداد شعب'!U12</f>
        <v>0</v>
      </c>
      <c r="V12" s="12">
        <f>'تعداد شعب'!$B$12/'تعداد شعب'!$AG$12*'تعداد شعب'!V12</f>
        <v>0</v>
      </c>
      <c r="W12" s="12">
        <f>'تعداد شعب'!$B$12/'تعداد شعب'!$AG$12*'تعداد شعب'!W12</f>
        <v>0</v>
      </c>
      <c r="X12" s="12">
        <f>'تعداد شعب'!$B$12/'تعداد شعب'!$AG$12*'تعداد شعب'!X12</f>
        <v>0</v>
      </c>
      <c r="Y12" s="12">
        <f>'تعداد شعب'!$B$12/'تعداد شعب'!$AG$12*'تعداد شعب'!Y12</f>
        <v>0</v>
      </c>
      <c r="Z12" s="12">
        <f>'تعداد شعب'!$B$12/'تعداد شعب'!$AG$12*'تعداد شعب'!Z12</f>
        <v>0</v>
      </c>
      <c r="AA12" s="12">
        <f>'تعداد شعب'!$B$12/'تعداد شعب'!$AG$12*'تعداد شعب'!AA12</f>
        <v>0</v>
      </c>
      <c r="AB12" s="12">
        <f>'تعداد شعب'!$B$12/'تعداد شعب'!$AG$12*'تعداد شعب'!AB12</f>
        <v>0</v>
      </c>
      <c r="AC12" s="12">
        <f>'تعداد شعب'!$B$12/'تعداد شعب'!$AG$12*'تعداد شعب'!AC12</f>
        <v>0</v>
      </c>
      <c r="AD12" s="12">
        <f>'تعداد شعب'!$B$12/'تعداد شعب'!$AG$12*'تعداد شعب'!AD12</f>
        <v>0</v>
      </c>
      <c r="AE12" s="12">
        <f>'تعداد شعب'!B12/'تعداد شعب'!AG12*'تعداد شعب'!AE12</f>
        <v>0</v>
      </c>
      <c r="AF12" s="12">
        <f>'تعداد شعب'!B12/'تعداد شعب'!AG12*'تعداد شعب'!AF12</f>
        <v>0</v>
      </c>
    </row>
    <row r="13" spans="1:32" ht="27.75" customHeight="1">
      <c r="A13" s="10" t="s">
        <v>9</v>
      </c>
      <c r="B13" s="30">
        <f t="shared" si="0"/>
        <v>502.738757339183</v>
      </c>
      <c r="C13" s="12">
        <f>'تعداد شعب'!$B$13/'تعداد شعب'!$AG$13*'تعداد شعب'!C13</f>
        <v>0</v>
      </c>
      <c r="D13" s="12">
        <f>'تعداد شعب'!$B$13/'تعداد شعب'!$AG$13*'تعداد شعب'!D13</f>
        <v>18.417590678443901</v>
      </c>
      <c r="E13" s="12">
        <f>'تعداد شعب'!$B$13/'تعداد شعب'!$AG$13*'تعداد شعب'!E13</f>
        <v>0</v>
      </c>
      <c r="F13" s="12">
        <f>'تعداد شعب'!$B$13/'تعداد شعب'!$AG$13*'تعداد شعب'!F13</f>
        <v>0</v>
      </c>
      <c r="G13" s="12">
        <f>'تعداد شعب'!$B$13/'تعداد شعب'!$AG$13*'تعداد شعب'!G13</f>
        <v>0</v>
      </c>
      <c r="H13" s="12">
        <f>'تعداد شعب'!$B$13/'تعداد شعب'!$AG$13*'تعداد شعب'!H13</f>
        <v>0</v>
      </c>
      <c r="I13" s="12">
        <f>'تعداد شعب'!$B$13/'تعداد شعب'!$AG$13*'تعداد شعب'!I13</f>
        <v>0</v>
      </c>
      <c r="J13" s="12">
        <f>'تعداد شعب'!$B$4/'تعداد شعب'!$AG$4*'تعداد شعب'!J13</f>
        <v>122.13924596913976</v>
      </c>
      <c r="K13" s="12">
        <f>'تعداد شعب'!$B$13/'تعداد شعب'!$AG$13*'تعداد شعب'!K13</f>
        <v>163.30263734886927</v>
      </c>
      <c r="L13" s="12">
        <f>'تعداد شعب'!$B$13/'تعداد شعب'!$AG$13*'تعداد شعب'!L13</f>
        <v>0</v>
      </c>
      <c r="M13" s="12">
        <f>'تعداد شعب'!$B$13/'تعداد شعب'!$AG$13*'تعداد شعب'!M13</f>
        <v>195.53342103614608</v>
      </c>
      <c r="N13" s="12">
        <f>'تعداد شعب'!$B$13/'تعداد شعب'!$AG$13*'تعداد شعب'!N13</f>
        <v>0</v>
      </c>
      <c r="O13" s="12">
        <f>'تعداد شعب'!$B$13/'تعداد شعب'!$AG$13*'تعداد شعب'!O13</f>
        <v>0</v>
      </c>
      <c r="P13" s="12">
        <f>'تعداد شعب'!$B$13/'تعداد شعب'!$AG$13*'تعداد شعب'!P13</f>
        <v>0</v>
      </c>
      <c r="Q13" s="12">
        <f>'تعداد شعب'!$B$13/'تعداد شعب'!$AG$13*'تعداد شعب'!Q13</f>
        <v>0</v>
      </c>
      <c r="R13" s="12">
        <f>'تعداد شعب'!$B$13/'تعداد شعب'!$AG$13*'تعداد شعب'!R13</f>
        <v>3.3458623065839759</v>
      </c>
      <c r="S13" s="12">
        <f>'تعداد شعب'!$B$13/'تعداد شعب'!$AG$13*'تعداد شعب'!S13</f>
        <v>0</v>
      </c>
      <c r="T13" s="12">
        <f>'تعداد شعب'!$B$13/'تعداد شعب'!$AG$13*'تعداد شعب'!T13</f>
        <v>0</v>
      </c>
      <c r="U13" s="12">
        <f>'تعداد شعب'!$B$13/'تعداد شعب'!$AG$13*'تعداد شعب'!U13</f>
        <v>0</v>
      </c>
      <c r="V13" s="12">
        <f>'تعداد شعب'!$B$13/'تعداد شعب'!$AG$13*'تعداد شعب'!V13</f>
        <v>0</v>
      </c>
      <c r="W13" s="12">
        <f>'تعداد شعب'!$B$13/'تعداد شعب'!$AG$13*'تعداد شعب'!W13</f>
        <v>0</v>
      </c>
      <c r="X13" s="12">
        <f>'تعداد شعب'!$B$13/'تعداد شعب'!$AG$13*'تعداد شعب'!X13</f>
        <v>0</v>
      </c>
      <c r="Y13" s="12">
        <f>'تعداد شعب'!$B$13/'تعداد شعب'!$AG$13*'تعداد شعب'!Y13</f>
        <v>0</v>
      </c>
      <c r="Z13" s="12">
        <f>'تعداد شعب'!$B$13/'تعداد شعب'!$AG$13*'تعداد شعب'!Z13</f>
        <v>0</v>
      </c>
      <c r="AA13" s="12">
        <f>'تعداد شعب'!$B$13/'تعداد شعب'!$AG$13*'تعداد شعب'!AA13</f>
        <v>0</v>
      </c>
      <c r="AB13" s="12">
        <f>'تعداد شعب'!$B$13/'تعداد شعب'!$AG$13*'تعداد شعب'!AB13</f>
        <v>0</v>
      </c>
      <c r="AC13" s="12">
        <f>'تعداد شعب'!$B$13/'تعداد شعب'!$AG$13*'تعداد شعب'!AC13</f>
        <v>0</v>
      </c>
      <c r="AD13" s="12">
        <f>'تعداد شعب'!$B$13/'تعداد شعب'!$AG$13*'تعداد شعب'!AD13</f>
        <v>0</v>
      </c>
      <c r="AE13" s="12">
        <f>'تعداد شعب'!B13/'تعداد شعب'!AG13*'تعداد شعب'!AE13</f>
        <v>0</v>
      </c>
      <c r="AF13" s="12">
        <f>'تعداد شعب'!B13/'تعداد شعب'!AG13*'تعداد شعب'!AF13</f>
        <v>0</v>
      </c>
    </row>
    <row r="14" spans="1:32" ht="27.75" customHeight="1">
      <c r="A14" s="10" t="s">
        <v>10</v>
      </c>
      <c r="B14" s="30">
        <f t="shared" si="0"/>
        <v>3857.6503658375591</v>
      </c>
      <c r="C14" s="12">
        <f>'تعداد شعب'!$B$14/'تعداد شعب'!$AG$14*'تعداد شعب'!C14</f>
        <v>0</v>
      </c>
      <c r="D14" s="12">
        <f>'تعداد شعب'!$B$14/'تعداد شعب'!$AG$14*'تعداد شعب'!D14</f>
        <v>197.43184046010484</v>
      </c>
      <c r="E14" s="12">
        <f>'تعداد شعب'!$B$14/'تعداد شعب'!$AG$14*'تعداد شعب'!E14</f>
        <v>192.49604444860222</v>
      </c>
      <c r="F14" s="12">
        <f>'تعداد شعب'!$B$14/'تعداد شعب'!$AG$14*'تعداد شعب'!F14</f>
        <v>0</v>
      </c>
      <c r="G14" s="12">
        <f>'تعداد شعب'!$B$14/'تعداد شعب'!$AG$14*'تعداد شعب'!G14</f>
        <v>0</v>
      </c>
      <c r="H14" s="12">
        <f>'تعداد شعب'!$B$14/'تعداد شعب'!$AG$14*'تعداد شعب'!H14</f>
        <v>0</v>
      </c>
      <c r="I14" s="12">
        <f>'تعداد شعب'!$B$14/'تعداد شعب'!$AG$14*'تعداد شعب'!I14</f>
        <v>221.37045111589254</v>
      </c>
      <c r="J14" s="12">
        <f>'تعداد شعب'!$B$4/'تعداد شعب'!$AG$4*'تعداد شعب'!J14</f>
        <v>203.56540994856627</v>
      </c>
      <c r="K14" s="12">
        <f>'تعداد شعب'!$B$14/'تعداد شعب'!$AG$14*'تعداد شعب'!K14</f>
        <v>1129.1126955913396</v>
      </c>
      <c r="L14" s="12">
        <f>'تعداد شعب'!$B$14/'تعداد شعب'!$AG$14*'تعداد شعب'!L14</f>
        <v>393.28422619652878</v>
      </c>
      <c r="M14" s="12">
        <f>'تعداد شعب'!$B$14/'تعداد شعب'!$AG$14*'تعداد شعب'!M14</f>
        <v>598.87658272898466</v>
      </c>
      <c r="N14" s="12">
        <f>'تعداد شعب'!$B$14/'تعداد شعب'!$AG$14*'تعداد شعب'!N14</f>
        <v>0</v>
      </c>
      <c r="O14" s="12">
        <f>'تعداد شعب'!$B$14/'تعداد شعب'!$AG$14*'تعداد شعب'!O14</f>
        <v>190.02814644285093</v>
      </c>
      <c r="P14" s="12">
        <f>'تعداد شعب'!$B$14/'تعداد شعب'!$AG$14*'تعداد شعب'!P14</f>
        <v>0</v>
      </c>
      <c r="Q14" s="12">
        <f>'تعداد شعب'!$B$14/'تعداد شعب'!$AG$14*'تعداد شعب'!Q14</f>
        <v>81.605160723509997</v>
      </c>
      <c r="R14" s="12">
        <f>'تعداد شعب'!$B$14/'تعداد شعب'!$AG$14*'تعداد شعب'!R14</f>
        <v>35.866784350252381</v>
      </c>
      <c r="S14" s="12">
        <f>'تعداد شعب'!$B$14/'تعداد شعب'!$AG$14*'تعداد شعب'!S14</f>
        <v>0</v>
      </c>
      <c r="T14" s="12">
        <f>'تعداد شعب'!$B$14/'تعداد شعب'!$AG$14*'تعداد شعب'!T14</f>
        <v>0</v>
      </c>
      <c r="U14" s="12">
        <f>'تعداد شعب'!$B$14/'تعداد شعب'!$AG$14*'تعداد شعب'!U14</f>
        <v>0</v>
      </c>
      <c r="V14" s="12">
        <f>'تعداد شعب'!$B$14/'تعداد شعب'!$AG$14*'تعداد شعب'!V14</f>
        <v>51.332278519627259</v>
      </c>
      <c r="W14" s="12">
        <f>'تعداد شعب'!$B$14/'تعداد شعب'!$AG$14*'تعداد شعب'!W14</f>
        <v>0</v>
      </c>
      <c r="X14" s="12">
        <f>'تعداد شعب'!$B$14/'تعداد شعب'!$AG$14*'تعداد شعب'!X14</f>
        <v>0</v>
      </c>
      <c r="Y14" s="12">
        <f>'تعداد شعب'!$B$14/'تعداد شعب'!$AG$14*'تعداد شعب'!Y14</f>
        <v>0</v>
      </c>
      <c r="Z14" s="12">
        <f>'تعداد شعب'!$B$14/'تعداد شعب'!$AG$14*'تعداد شعب'!Z14</f>
        <v>513.32278519627266</v>
      </c>
      <c r="AA14" s="12">
        <f>'تعداد شعب'!$B$14/'تعداد شعب'!$AG$14*'تعداد شعب'!AA14</f>
        <v>0</v>
      </c>
      <c r="AB14" s="12">
        <f>'تعداد شعب'!$B$14/'تعداد شعب'!$AG$14*'تعداد شعب'!AB14</f>
        <v>49.357960115026209</v>
      </c>
      <c r="AC14" s="12">
        <f>'تعداد شعب'!$B$14/'تعداد شعب'!$AG$14*'تعداد شعب'!AC14</f>
        <v>0</v>
      </c>
      <c r="AD14" s="12">
        <f>'تعداد شعب'!$B$14/'تعداد شعب'!$AG$14*'تعداد شعب'!AD14</f>
        <v>0</v>
      </c>
      <c r="AE14" s="12">
        <f>'تعداد شعب'!B14/'تعداد شعب'!AG14*'تعداد شعب'!AE14</f>
        <v>0</v>
      </c>
      <c r="AF14" s="12">
        <f>'تعداد شعب'!B14/'تعداد شعب'!AG14*'تعداد شعب'!AF14</f>
        <v>0</v>
      </c>
    </row>
    <row r="15" spans="1:32" ht="27.75" customHeight="1">
      <c r="A15" s="10" t="s">
        <v>11</v>
      </c>
      <c r="B15" s="30">
        <f t="shared" si="0"/>
        <v>546.63814902916442</v>
      </c>
      <c r="C15" s="12">
        <f>'تعداد شعب'!$B$15/'تعداد شعب'!$AG$15*'تعداد شعب'!C15</f>
        <v>0</v>
      </c>
      <c r="D15" s="12">
        <f>'تعداد شعب'!$B$15/'تعداد شعب'!$AG$15*'تعداد شعب'!D15</f>
        <v>23.810178817056393</v>
      </c>
      <c r="E15" s="12">
        <f>'تعداد شعب'!$B$15/'تعداد شعب'!$AG$15*'تعداد شعب'!E15</f>
        <v>0</v>
      </c>
      <c r="F15" s="12">
        <f>'تعداد شعب'!$B$15/'تعداد شعب'!$AG$15*'تعداد شعب'!F15</f>
        <v>0</v>
      </c>
      <c r="G15" s="12">
        <f>'تعداد شعب'!$B$15/'تعداد شعب'!$AG$15*'تعداد شعب'!G15</f>
        <v>0</v>
      </c>
      <c r="H15" s="12">
        <f>'تعداد شعب'!$B$15/'تعداد شعب'!$AG$15*'تعداد شعب'!H15</f>
        <v>0</v>
      </c>
      <c r="I15" s="12">
        <f>'تعداد شعب'!$B$15/'تعداد شعب'!$AG$15*'تعداد شعب'!I15</f>
        <v>0</v>
      </c>
      <c r="J15" s="12">
        <f>'تعداد شعب'!$B$4/'تعداد شعب'!$AG$4*'تعداد شعب'!J15</f>
        <v>67.855136649522095</v>
      </c>
      <c r="K15" s="12">
        <f>'تعداد شعب'!$B$15/'تعداد شعب'!$AG$15*'تعداد شعب'!K15</f>
        <v>197.92211141678126</v>
      </c>
      <c r="L15" s="12">
        <f>'تعداد شعب'!$B$15/'تعداد شعب'!$AG$15*'تعداد شعب'!L15</f>
        <v>0</v>
      </c>
      <c r="M15" s="12">
        <f>'تعداد شعب'!$B$15/'تعداد شعب'!$AG$15*'تعداد شعب'!M15</f>
        <v>225.70065337001373</v>
      </c>
      <c r="N15" s="12">
        <f>'تعداد شعب'!$B$15/'تعداد شعب'!$AG$15*'تعداد شعب'!N15</f>
        <v>0</v>
      </c>
      <c r="O15" s="12">
        <f>'تعداد شعب'!$B$15/'تعداد شعب'!$AG$15*'تعداد شعب'!O15</f>
        <v>28.646621389270972</v>
      </c>
      <c r="P15" s="12">
        <f>'تعداد شعب'!$B$15/'تعداد شعب'!$AG$15*'تعداد شعب'!P15</f>
        <v>0</v>
      </c>
      <c r="Q15" s="12">
        <f>'تعداد شعب'!$B$15/'تعداد شعب'!$AG$15*'تعداد شعب'!Q15</f>
        <v>0</v>
      </c>
      <c r="R15" s="12">
        <f>'تعداد شعب'!$B$15/'تعداد شعب'!$AG$15*'تعداد شعب'!R15</f>
        <v>2.7034473865199451</v>
      </c>
      <c r="S15" s="12">
        <f>'تعداد شعب'!$B$15/'تعداد شعب'!$AG$15*'تعداد شعب'!S15</f>
        <v>0</v>
      </c>
      <c r="T15" s="12">
        <f>'تعداد شعب'!$B$15/'تعداد شعب'!$AG$15*'تعداد شعب'!T15</f>
        <v>0</v>
      </c>
      <c r="U15" s="12">
        <f>'تعداد شعب'!$B$15/'تعداد شعب'!$AG$15*'تعداد شعب'!U15</f>
        <v>0</v>
      </c>
      <c r="V15" s="12">
        <f>'تعداد شعب'!$B$15/'تعداد شعب'!$AG$15*'تعداد شعب'!V15</f>
        <v>0</v>
      </c>
      <c r="W15" s="12">
        <f>'تعداد شعب'!$B$15/'تعداد شعب'!$AG$15*'تعداد شعب'!W15</f>
        <v>0</v>
      </c>
      <c r="X15" s="12">
        <f>'تعداد شعب'!$B$15/'تعداد شعب'!$AG$15*'تعداد شعب'!X15</f>
        <v>0</v>
      </c>
      <c r="Y15" s="12">
        <f>'تعداد شعب'!$B$15/'تعداد شعب'!$AG$15*'تعداد شعب'!Y15</f>
        <v>0</v>
      </c>
      <c r="Z15" s="12">
        <f>'تعداد شعب'!$B$15/'تعداد شعب'!$AG$15*'تعداد شعب'!Z15</f>
        <v>0</v>
      </c>
      <c r="AA15" s="12">
        <f>'تعداد شعب'!$B$15/'تعداد شعب'!$AG$15*'تعداد شعب'!AA15</f>
        <v>0</v>
      </c>
      <c r="AB15" s="12">
        <f>'تعداد شعب'!$B$15/'تعداد شعب'!$AG$15*'تعداد شعب'!AB15</f>
        <v>0</v>
      </c>
      <c r="AC15" s="12">
        <f>'تعداد شعب'!$B$15/'تعداد شعب'!$AG$15*'تعداد شعب'!AC15</f>
        <v>0</v>
      </c>
      <c r="AD15" s="12">
        <f>'تعداد شعب'!$B$15/'تعداد شعب'!$AG$15*'تعداد شعب'!AD15</f>
        <v>0</v>
      </c>
      <c r="AE15" s="12">
        <f>'تعداد شعب'!B15/'تعداد شعب'!AG15*'تعداد شعب'!AE15</f>
        <v>0</v>
      </c>
      <c r="AF15" s="12">
        <f>'تعداد شعب'!B15/'تعداد شعب'!AG15*'تعداد شعب'!AF15</f>
        <v>0</v>
      </c>
    </row>
    <row r="16" spans="1:32" ht="27.75" customHeight="1">
      <c r="A16" s="10" t="s">
        <v>12</v>
      </c>
      <c r="B16" s="30">
        <f t="shared" si="0"/>
        <v>2735.3313753673651</v>
      </c>
      <c r="C16" s="12">
        <f>'تعداد شعب'!$B$16/'تعداد شعب'!$AG$16*'تعداد شعب'!C16</f>
        <v>0</v>
      </c>
      <c r="D16" s="12">
        <f>'تعداد شعب'!$B$16/'تعداد شعب'!$AG$16*'تعداد شعب'!D16</f>
        <v>25.286497259591432</v>
      </c>
      <c r="E16" s="12">
        <f>'تعداد شعب'!$B$16/'تعداد شعب'!$AG$16*'تعداد شعب'!E16</f>
        <v>0</v>
      </c>
      <c r="F16" s="12">
        <f>'تعداد شعب'!$B$16/'تعداد شعب'!$AG$16*'تعداد شعب'!F16</f>
        <v>0</v>
      </c>
      <c r="G16" s="12">
        <f>'تعداد شعب'!$B$16/'تعداد شعب'!$AG$16*'تعداد شعب'!G16</f>
        <v>0</v>
      </c>
      <c r="H16" s="12">
        <f>'تعداد شعب'!$B$16/'تعداد شعب'!$AG$16*'تعداد شعب'!H16</f>
        <v>0</v>
      </c>
      <c r="I16" s="12">
        <f>'تعداد شعب'!$B$16/'تعداد شعب'!$AG$16*'تعداد شعب'!I16</f>
        <v>0</v>
      </c>
      <c r="J16" s="12">
        <f>'تعداد شعب'!$B$4/'تعداد شعب'!$AG$4*'تعداد شعب'!J16</f>
        <v>149.2813006289486</v>
      </c>
      <c r="K16" s="12">
        <f>'تعداد شعب'!$B$16/'تعداد شعب'!$AG$16*'تعداد شعب'!K16</f>
        <v>1401.2933898023587</v>
      </c>
      <c r="L16" s="12">
        <f>'تعداد شعب'!$B$16/'تعداد شعب'!$AG$16*'تعداد شعب'!L16</f>
        <v>0</v>
      </c>
      <c r="M16" s="12">
        <f>'تعداد شعب'!$B$16/'تعداد شعب'!$AG$16*'تعداد شعب'!M16</f>
        <v>862.90171898355766</v>
      </c>
      <c r="N16" s="12">
        <f>'تعداد شعب'!$B$16/'تعداد شعب'!$AG$16*'تعداد شعب'!N16</f>
        <v>0</v>
      </c>
      <c r="O16" s="12">
        <f>'تعداد شعب'!$B$16/'تعداد شعب'!$AG$16*'تعداد شعب'!O16</f>
        <v>0</v>
      </c>
      <c r="P16" s="12">
        <f>'تعداد شعب'!$B$16/'تعداد شعب'!$AG$16*'تعداد شعب'!P16</f>
        <v>0</v>
      </c>
      <c r="Q16" s="12">
        <f>'تعداد شعب'!$B$16/'تعداد شعب'!$AG$16*'تعداد شعب'!Q16</f>
        <v>0</v>
      </c>
      <c r="R16" s="12">
        <f>'تعداد شعب'!$B$16/'تعداد شعب'!$AG$16*'تعداد شعب'!R16</f>
        <v>51.679278774289998</v>
      </c>
      <c r="S16" s="12">
        <f>'تعداد شعب'!$B$16/'تعداد شعب'!$AG$16*'تعداد شعب'!S16</f>
        <v>12.906649642916461</v>
      </c>
      <c r="T16" s="12">
        <f>'تعداد شعب'!$B$16/'تعداد شعب'!$AG$16*'تعداد شعب'!T16</f>
        <v>0</v>
      </c>
      <c r="U16" s="12">
        <f>'تعداد شعب'!$B$16/'تعداد شعب'!$AG$16*'تعداد شعب'!U16</f>
        <v>0</v>
      </c>
      <c r="V16" s="12">
        <f>'تعداد شعب'!$B$16/'تعداد شعب'!$AG$16*'تعداد شعب'!V16</f>
        <v>0</v>
      </c>
      <c r="W16" s="12">
        <f>'تعداد شعب'!$B$16/'تعداد شعب'!$AG$16*'تعداد شعب'!W16</f>
        <v>231.98254027570175</v>
      </c>
      <c r="X16" s="12">
        <f>'تعداد شعب'!$B$16/'تعداد شعب'!$AG$16*'تعداد شعب'!X16</f>
        <v>0</v>
      </c>
      <c r="Y16" s="12">
        <f>'تعداد شعب'!$B$16/'تعداد شعب'!$AG$16*'تعداد شعب'!Y16</f>
        <v>0</v>
      </c>
      <c r="Z16" s="12">
        <f>'تعداد شعب'!$B$16/'تعداد شعب'!$AG$16*'تعداد شعب'!Z16</f>
        <v>0</v>
      </c>
      <c r="AA16" s="12">
        <f>'تعداد شعب'!$B$16/'تعداد شعب'!$AG$16*'تعداد شعب'!AA16</f>
        <v>0</v>
      </c>
      <c r="AB16" s="12">
        <f>'تعداد شعب'!$B$16/'تعداد شعب'!$AG$16*'تعداد شعب'!AB16</f>
        <v>0</v>
      </c>
      <c r="AC16" s="12">
        <f>'تعداد شعب'!$B$16/'تعداد شعب'!$AG$16*'تعداد شعب'!AC16</f>
        <v>0</v>
      </c>
      <c r="AD16" s="12">
        <f>'تعداد شعب'!$B$16/'تعداد شعب'!$AG$16*'تعداد شعب'!AD16</f>
        <v>0</v>
      </c>
      <c r="AE16" s="12">
        <f>'تعداد شعب'!B16/'تعداد شعب'!AG16*'تعداد شعب'!AE16</f>
        <v>0</v>
      </c>
      <c r="AF16" s="12">
        <f>'تعداد شعب'!B16/'تعداد شعب'!AG16*'تعداد شعب'!AF16</f>
        <v>0</v>
      </c>
    </row>
    <row r="17" spans="1:32" ht="27.75" customHeight="1">
      <c r="A17" s="10" t="s">
        <v>13</v>
      </c>
      <c r="B17" s="30">
        <f t="shared" si="0"/>
        <v>666.09369233280017</v>
      </c>
      <c r="C17" s="12">
        <f>'تعداد شعب'!$B$17/'تعداد شعب'!$AG$17*'تعداد شعب'!C17</f>
        <v>0</v>
      </c>
      <c r="D17" s="12">
        <f>'تعداد شعب'!$B$17/'تعداد شعب'!$AG$17*'تعداد شعب'!D17</f>
        <v>4.3491784434376903</v>
      </c>
      <c r="E17" s="12">
        <f>'تعداد شعب'!$B$17/'تعداد شعب'!$AG$17*'تعداد شعب'!E17</f>
        <v>0</v>
      </c>
      <c r="F17" s="12">
        <f>'تعداد شعب'!$B$17/'تعداد شعب'!$AG$17*'تعداد شعب'!F17</f>
        <v>0</v>
      </c>
      <c r="G17" s="12">
        <f>'تعداد شعب'!$B$17/'تعداد شعب'!$AG$17*'تعداد شعب'!G17</f>
        <v>0</v>
      </c>
      <c r="H17" s="12">
        <f>'تعداد شعب'!$B$17/'تعداد شعب'!$AG$17*'تعداد شعب'!H17</f>
        <v>0</v>
      </c>
      <c r="I17" s="12">
        <f>'تعداد شعب'!$B$17/'تعداد شعب'!$AG$17*'تعداد شعب'!I17</f>
        <v>37.103928595577791</v>
      </c>
      <c r="J17" s="12">
        <f>'تعداد شعب'!$B$4/'تعداد شعب'!$AG$4*'تعداد شعب'!J17</f>
        <v>67.855136649522095</v>
      </c>
      <c r="K17" s="12">
        <f>'تعداد شعب'!$B$17/'تعداد شعب'!$AG$17*'تعداد شعب'!K17</f>
        <v>289.22036648860643</v>
      </c>
      <c r="L17" s="12">
        <f>'تعداد شعب'!$B$17/'تعداد شعب'!$AG$17*'تعداد شعب'!L17</f>
        <v>94.757725336398678</v>
      </c>
      <c r="M17" s="12">
        <f>'تعداد شعب'!$B$17/'تعداد شعب'!$AG$17*'تعداد شعب'!M17</f>
        <v>164.90634931367907</v>
      </c>
      <c r="N17" s="12">
        <f>'تعداد شعب'!$B$17/'تعداد شعب'!$AG$17*'تعداد شعب'!N17</f>
        <v>0</v>
      </c>
      <c r="O17" s="12">
        <f>'تعداد شعب'!$B$17/'تعداد شعب'!$AG$17*'تعداد شعب'!O17</f>
        <v>0</v>
      </c>
      <c r="P17" s="12">
        <f>'تعداد شعب'!$B$17/'تعداد شعب'!$AG$17*'تعداد شعب'!P17</f>
        <v>0</v>
      </c>
      <c r="Q17" s="12">
        <f>'تعداد شعب'!$B$17/'تعداد شعب'!$AG$17*'تعداد شعب'!Q17</f>
        <v>0</v>
      </c>
      <c r="R17" s="12">
        <f>'تعداد شعب'!$B$17/'تعداد شعب'!$AG$17*'تعداد شعب'!R17</f>
        <v>7.9010075055784714</v>
      </c>
      <c r="S17" s="12">
        <f>'تعداد شعب'!$B$17/'تعداد شعب'!$AG$17*'تعداد شعب'!S17</f>
        <v>0</v>
      </c>
      <c r="T17" s="12">
        <f>'تعداد شعب'!$B$17/'تعداد شعب'!$AG$17*'تعداد شعب'!T17</f>
        <v>0</v>
      </c>
      <c r="U17" s="12">
        <f>'تعداد شعب'!$B$17/'تعداد شعب'!$AG$17*'تعداد شعب'!U17</f>
        <v>0</v>
      </c>
      <c r="V17" s="12">
        <f>'تعداد شعب'!$B$17/'تعداد شعب'!$AG$17*'تعداد شعب'!V17</f>
        <v>0</v>
      </c>
      <c r="W17" s="12">
        <f>'تعداد شعب'!$B$17/'تعداد شعب'!$AG$17*'تعداد شعب'!W17</f>
        <v>0</v>
      </c>
      <c r="X17" s="12">
        <f>'تعداد شعب'!$B$17/'تعداد شعب'!$AG$17*'تعداد شعب'!X17</f>
        <v>0</v>
      </c>
      <c r="Y17" s="12">
        <f>'تعداد شعب'!$B$17/'تعداد شعب'!$AG$17*'تعداد شعب'!Y17</f>
        <v>0</v>
      </c>
      <c r="Z17" s="12">
        <f>'تعداد شعب'!$B$17/'تعداد شعب'!$AG$17*'تعداد شعب'!Z17</f>
        <v>0</v>
      </c>
      <c r="AA17" s="12">
        <f>'تعداد شعب'!$B$17/'تعداد شعب'!$AG$17*'تعداد شعب'!AA17</f>
        <v>0</v>
      </c>
      <c r="AB17" s="12">
        <f>'تعداد شعب'!$B$17/'تعداد شعب'!$AG$17*'تعداد شعب'!AB17</f>
        <v>0</v>
      </c>
      <c r="AC17" s="12">
        <f>'تعداد شعب'!$B$17/'تعداد شعب'!$AG$17*'تعداد شعب'!AC17</f>
        <v>0</v>
      </c>
      <c r="AD17" s="12">
        <f>'تعداد شعب'!$B$17/'تعداد شعب'!$AG$17*'تعداد شعب'!AD17</f>
        <v>0</v>
      </c>
      <c r="AE17" s="12">
        <f>'تعداد شعب'!B17/'تعداد شعب'!AG17*'تعداد شعب'!AE17</f>
        <v>0</v>
      </c>
      <c r="AF17" s="12">
        <f>'تعداد شعب'!B17/'تعداد شعب'!AG17*'تعداد شعب'!AF17</f>
        <v>0</v>
      </c>
    </row>
    <row r="18" spans="1:32" ht="27.75" customHeight="1">
      <c r="A18" s="10" t="s">
        <v>14</v>
      </c>
      <c r="B18" s="30">
        <f t="shared" si="0"/>
        <v>469.42666518984089</v>
      </c>
      <c r="C18" s="12">
        <f>'تعداد شعب'!$B$18/'تعداد شعب'!$AG$18*'تعداد شعب'!C18</f>
        <v>0</v>
      </c>
      <c r="D18" s="12">
        <f>'تعداد شعب'!$B$18/'تعداد شعب'!$AG$18*'تعداد شعب'!D18</f>
        <v>0</v>
      </c>
      <c r="E18" s="12">
        <f>'تعداد شعب'!$B$18/'تعداد شعب'!$AG$18*'تعداد شعب'!E18</f>
        <v>0</v>
      </c>
      <c r="F18" s="12">
        <f>'تعداد شعب'!$B$18/'تعداد شعب'!$AG$18*'تعداد شعب'!F18</f>
        <v>0</v>
      </c>
      <c r="G18" s="12">
        <f>'تعداد شعب'!$B$18/'تعداد شعب'!$AG$18*'تعداد شعب'!G18</f>
        <v>0</v>
      </c>
      <c r="H18" s="12">
        <f>'تعداد شعب'!$B$18/'تعداد شعب'!$AG$18*'تعداد شعب'!H18</f>
        <v>0</v>
      </c>
      <c r="I18" s="12">
        <f>'تعداد شعب'!$B$18/'تعداد شعب'!$AG$18*'تعداد شعب'!I18</f>
        <v>29.318865241614024</v>
      </c>
      <c r="J18" s="12">
        <f>'تعداد شعب'!$B$4/'تعداد شعب'!$AG$4*'تعداد شعب'!J18</f>
        <v>94.997191309330915</v>
      </c>
      <c r="K18" s="12">
        <f>'تعداد شعب'!$B$18/'تعداد شعب'!$AG$18*'تعداد شعب'!K18</f>
        <v>133.31313084221077</v>
      </c>
      <c r="L18" s="12">
        <f>'تعداد شعب'!$B$18/'تعداد شعب'!$AG$18*'تعداد شعب'!L18</f>
        <v>47.421385113872113</v>
      </c>
      <c r="M18" s="12">
        <f>'تعداد شعب'!$B$18/'تعداد شعب'!$AG$18*'تعداد شعب'!M18</f>
        <v>127.69994638569662</v>
      </c>
      <c r="N18" s="12">
        <f>'تعداد شعب'!$B$18/'تعداد شعب'!$AG$18*'تعداد شعب'!N18</f>
        <v>0</v>
      </c>
      <c r="O18" s="12">
        <f>'تعداد شعب'!$B$18/'تعداد شعب'!$AG$18*'تعداد شعب'!O18</f>
        <v>15.43625725541388</v>
      </c>
      <c r="P18" s="12">
        <f>'تعداد شعب'!$B$18/'تعداد شعب'!$AG$18*'تعداد شعب'!P18</f>
        <v>0</v>
      </c>
      <c r="Q18" s="12">
        <f>'تعداد شعب'!$B$18/'تعداد شعب'!$AG$18*'تعداد شعب'!Q18</f>
        <v>0</v>
      </c>
      <c r="R18" s="12">
        <f>'تعداد شعب'!$B$18/'تعداد شعب'!$AG$18*'تعداد شعب'!R18</f>
        <v>6.5553975617147264</v>
      </c>
      <c r="S18" s="12">
        <f>'تعداد شعب'!$B$18/'تعداد شعب'!$AG$18*'تعداد شعب'!S18</f>
        <v>0</v>
      </c>
      <c r="T18" s="12">
        <f>'تعداد شعب'!$B$18/'تعداد شعب'!$AG$18*'تعداد شعب'!T18</f>
        <v>0</v>
      </c>
      <c r="U18" s="12">
        <f>'تعداد شعب'!$B$18/'تعداد شعب'!$AG$18*'تعداد شعب'!U18</f>
        <v>0</v>
      </c>
      <c r="V18" s="12">
        <f>'تعداد شعب'!$B$18/'تعداد شعب'!$AG$18*'تعداد شعب'!V18</f>
        <v>0</v>
      </c>
      <c r="W18" s="12">
        <f>'تعداد شعب'!$B$18/'تعداد شعب'!$AG$18*'تعداد شعب'!W18</f>
        <v>0</v>
      </c>
      <c r="X18" s="12">
        <f>'تعداد شعب'!$B$18/'تعداد شعب'!$AG$18*'تعداد شعب'!X18</f>
        <v>0</v>
      </c>
      <c r="Y18" s="12">
        <f>'تعداد شعب'!$B$18/'تعداد شعب'!$AG$18*'تعداد شعب'!Y18</f>
        <v>0</v>
      </c>
      <c r="Z18" s="12">
        <f>'تعداد شعب'!$B$18/'تعداد شعب'!$AG$18*'تعداد شعب'!Z18</f>
        <v>0</v>
      </c>
      <c r="AA18" s="12">
        <f>'تعداد شعب'!$B$18/'تعداد شعب'!$AG$18*'تعداد شعب'!AA18</f>
        <v>0</v>
      </c>
      <c r="AB18" s="12">
        <f>'تعداد شعب'!$B$18/'تعداد شعب'!$AG$18*'تعداد شعب'!AB18</f>
        <v>3.7588288771300027</v>
      </c>
      <c r="AC18" s="12">
        <f>'تعداد شعب'!$B$18/'تعداد شعب'!$AG$18*'تعداد شعب'!AC18</f>
        <v>0</v>
      </c>
      <c r="AD18" s="12">
        <f>'تعداد شعب'!$B$18/'تعداد شعب'!$AG$18*'تعداد شعب'!AD18</f>
        <v>0</v>
      </c>
      <c r="AE18" s="12">
        <f>'تعداد شعب'!B18/'تعداد شعب'!AG18*'تعداد شعب'!AE18</f>
        <v>10.925662602857876</v>
      </c>
      <c r="AF18" s="12">
        <f>'تعداد شعب'!B18/'تعداد شعب'!AG18*'تعداد شعب'!AF18</f>
        <v>0</v>
      </c>
    </row>
    <row r="19" spans="1:32" ht="27.75" customHeight="1">
      <c r="A19" s="10" t="s">
        <v>15</v>
      </c>
      <c r="B19" s="30">
        <f t="shared" si="0"/>
        <v>1361.3596172502628</v>
      </c>
      <c r="C19" s="12">
        <f>'تعداد شعب'!$B$19/'تعداد شعب'!$AG$19*'تعداد شعب'!C19</f>
        <v>0</v>
      </c>
      <c r="D19" s="12">
        <f>'تعداد شعب'!$B$19/'تعداد شعب'!$AG$19*'تعداد شعب'!D19</f>
        <v>0</v>
      </c>
      <c r="E19" s="12">
        <f>'تعداد شعب'!$B$19/'تعداد شعب'!$AG$19*'تعداد شعب'!E19</f>
        <v>0</v>
      </c>
      <c r="F19" s="12">
        <f>'تعداد شعب'!$B$19/'تعداد شعب'!$AG$19*'تعداد شعب'!F19</f>
        <v>0</v>
      </c>
      <c r="G19" s="12">
        <f>'تعداد شعب'!$B$19/'تعداد شعب'!$AG$19*'تعداد شعب'!G19</f>
        <v>0</v>
      </c>
      <c r="H19" s="12">
        <f>'تعداد شعب'!$B$19/'تعداد شعب'!$AG$19*'تعداد شعب'!H19</f>
        <v>0</v>
      </c>
      <c r="I19" s="12">
        <f>'تعداد شعب'!$B$19/'تعداد شعب'!$AG$19*'تعداد شعب'!I19</f>
        <v>0</v>
      </c>
      <c r="J19" s="12">
        <f>'تعداد شعب'!$B$4/'تعداد شعب'!$AG$4*'تعداد شعب'!J19</f>
        <v>149.2813006289486</v>
      </c>
      <c r="K19" s="12">
        <f>'تعداد شعب'!$B$19/'تعداد شعب'!$AG$19*'تعداد شعب'!K19</f>
        <v>444.95284601334475</v>
      </c>
      <c r="L19" s="12">
        <f>'تعداد شعب'!$B$19/'تعداد شعب'!$AG$19*'تعداد شعب'!L19</f>
        <v>0</v>
      </c>
      <c r="M19" s="12">
        <f>'تعداد شعب'!$B$19/'تعداد شعب'!$AG$19*'تعداد شعب'!M19</f>
        <v>730.65941029559758</v>
      </c>
      <c r="N19" s="12">
        <f>'تعداد شعب'!$B$19/'تعداد شعب'!$AG$19*'تعداد شعب'!N19</f>
        <v>0</v>
      </c>
      <c r="O19" s="12">
        <f>'تعداد شعب'!$B$19/'تعداد شعب'!$AG$19*'تعداد شعب'!O19</f>
        <v>0</v>
      </c>
      <c r="P19" s="12">
        <f>'تعداد شعب'!$B$19/'تعداد شعب'!$AG$19*'تعداد شعب'!P19</f>
        <v>0</v>
      </c>
      <c r="Q19" s="12">
        <f>'تعداد شعب'!$B$19/'تعداد شعب'!$AG$19*'تعداد شعب'!Q19</f>
        <v>0</v>
      </c>
      <c r="R19" s="12">
        <f>'تعداد شعب'!$B$19/'تعداد شعب'!$AG$19*'تعداد شعب'!R19</f>
        <v>36.466060312371859</v>
      </c>
      <c r="S19" s="12">
        <f>'تعداد شعب'!$B$19/'تعداد شعب'!$AG$19*'تعداد شعب'!S19</f>
        <v>0</v>
      </c>
      <c r="T19" s="12">
        <f>'تعداد شعب'!$B$19/'تعداد شعب'!$AG$19*'تعداد شعب'!T19</f>
        <v>0</v>
      </c>
      <c r="U19" s="12">
        <f>'تعداد شعب'!$B$19/'تعداد شعب'!$AG$19*'تعداد شعب'!U19</f>
        <v>0</v>
      </c>
      <c r="V19" s="12">
        <f>'تعداد شعب'!$B$19/'تعداد شعب'!$AG$19*'تعداد شعب'!V19</f>
        <v>0</v>
      </c>
      <c r="W19" s="12">
        <f>'تعداد شعب'!$B$19/'تعداد شعب'!$AG$19*'تعداد شعب'!W19</f>
        <v>0</v>
      </c>
      <c r="X19" s="12">
        <f>'تعداد شعب'!$B$19/'تعداد شعب'!$AG$19*'تعداد شعب'!X19</f>
        <v>0</v>
      </c>
      <c r="Y19" s="12">
        <f>'تعداد شعب'!$B$19/'تعداد شعب'!$AG$19*'تعداد شعب'!Y19</f>
        <v>0</v>
      </c>
      <c r="Z19" s="12">
        <f>'تعداد شعب'!$B$19/'تعداد شعب'!$AG$19*'تعداد شعب'!Z19</f>
        <v>0</v>
      </c>
      <c r="AA19" s="12">
        <f>'تعداد شعب'!$B$19/'تعداد شعب'!$AG$19*'تعداد شعب'!AA19</f>
        <v>0</v>
      </c>
      <c r="AB19" s="12">
        <f>'تعداد شعب'!$B$19/'تعداد شعب'!$AG$19*'تعداد شعب'!AB19</f>
        <v>0</v>
      </c>
      <c r="AC19" s="12">
        <f>'تعداد شعب'!$B$19/'تعداد شعب'!$AG$19*'تعداد شعب'!AC19</f>
        <v>0</v>
      </c>
      <c r="AD19" s="12">
        <f>'تعداد شعب'!$B$19/'تعداد شعب'!$AG$19*'تعداد شعب'!AD19</f>
        <v>0</v>
      </c>
      <c r="AE19" s="12">
        <f>'تعداد شعب'!B19/'تعداد شعب'!AG19*'تعداد شعب'!AE19</f>
        <v>0</v>
      </c>
      <c r="AF19" s="12">
        <f>'تعداد شعب'!B19/'تعداد شعب'!AG19*'تعداد شعب'!AF19</f>
        <v>0</v>
      </c>
    </row>
    <row r="20" spans="1:32" ht="27.75" customHeight="1">
      <c r="A20" s="10" t="s">
        <v>16</v>
      </c>
      <c r="B20" s="30">
        <f t="shared" si="0"/>
        <v>2919.9618274812378</v>
      </c>
      <c r="C20" s="12">
        <f>'تعداد شعب'!$B$20/'تعداد شعب'!$AG$20*'تعداد شعب'!C20</f>
        <v>0</v>
      </c>
      <c r="D20" s="12">
        <f>'تعداد شعب'!$B$20/'تعداد شعب'!$AG$20*'تعداد شعب'!D20</f>
        <v>70.356793481182066</v>
      </c>
      <c r="E20" s="12">
        <f>'تعداد شعب'!$B$20/'تعداد شعب'!$AG$20*'تعداد شعب'!E20</f>
        <v>0</v>
      </c>
      <c r="F20" s="12">
        <f>'تعداد شعب'!$B$20/'تعداد شعب'!$AG$20*'تعداد شعب'!F20</f>
        <v>0</v>
      </c>
      <c r="G20" s="12">
        <f>'تعداد شعب'!$B$20/'تعداد شعب'!$AG$20*'تعداد شعب'!G20</f>
        <v>0</v>
      </c>
      <c r="H20" s="12">
        <f>'تعداد شعب'!$B$20/'تعداد شعب'!$AG$20*'تعداد شعب'!H20</f>
        <v>0</v>
      </c>
      <c r="I20" s="12">
        <f>'تعداد شعب'!$B$20/'تعداد شعب'!$AG$20*'تعداد شعب'!I20</f>
        <v>0</v>
      </c>
      <c r="J20" s="12">
        <f>'تعداد شعب'!$B$4/'تعداد شعب'!$AG$4*'تعداد شعب'!J20</f>
        <v>122.13924596913976</v>
      </c>
      <c r="K20" s="12">
        <f>'تعداد شعب'!$B$20/'تعداد شعب'!$AG$20*'تعداد شعب'!K20</f>
        <v>892.42380916547506</v>
      </c>
      <c r="L20" s="12">
        <f>'تعداد شعب'!$B$20/'تعداد شعب'!$AG$20*'تعداد شعب'!L20</f>
        <v>478.52391344076187</v>
      </c>
      <c r="M20" s="12">
        <f>'تعداد شعب'!$B$20/'تعداد شعب'!$AG$20*'تعداد شعب'!M20</f>
        <v>1244.9243735420271</v>
      </c>
      <c r="N20" s="12">
        <f>'تعداد شعب'!$B$20/'تعداد شعب'!$AG$20*'تعداد شعب'!N20</f>
        <v>0</v>
      </c>
      <c r="O20" s="12">
        <f>'تعداد شعب'!$B$20/'تعداد شعب'!$AG$20*'تعداد شعب'!O20</f>
        <v>0</v>
      </c>
      <c r="P20" s="12">
        <f>'تعداد شعب'!$B$20/'تعداد شعب'!$AG$20*'تعداد شعب'!P20</f>
        <v>0</v>
      </c>
      <c r="Q20" s="12">
        <f>'تعداد شعب'!$B$20/'تعداد شعب'!$AG$20*'تعداد شعب'!Q20</f>
        <v>80.780022145060883</v>
      </c>
      <c r="R20" s="12">
        <f>'تعداد شعب'!$B$20/'تعداد شعب'!$AG$20*'تعداد شعب'!R20</f>
        <v>14.201649054534899</v>
      </c>
      <c r="S20" s="12">
        <f>'تعداد شعب'!$B$20/'تعداد شعب'!$AG$20*'تعداد شعب'!S20</f>
        <v>0</v>
      </c>
      <c r="T20" s="12">
        <f>'تعداد شعب'!$B$20/'تعداد شعب'!$AG$20*'تعداد شعب'!T20</f>
        <v>0</v>
      </c>
      <c r="U20" s="12">
        <f>'تعداد شعب'!$B$20/'تعداد شعب'!$AG$20*'تعداد شعب'!U20</f>
        <v>0</v>
      </c>
      <c r="V20" s="12">
        <f>'تعداد شعب'!$B$20/'تعداد شعب'!$AG$20*'تعداد شعب'!V20</f>
        <v>0</v>
      </c>
      <c r="W20" s="12">
        <f>'تعداد شعب'!$B$20/'تعداد شعب'!$AG$20*'تعداد شعب'!W20</f>
        <v>0</v>
      </c>
      <c r="X20" s="12">
        <f>'تعداد شعب'!$B$20/'تعداد شعب'!$AG$20*'تعداد شعب'!X20</f>
        <v>16.612020683056876</v>
      </c>
      <c r="Y20" s="12">
        <f>'تعداد شعب'!$B$20/'تعداد شعب'!$AG$20*'تعداد شعب'!Y20</f>
        <v>0</v>
      </c>
      <c r="Z20" s="12">
        <f>'تعداد شعب'!$B$20/'تعداد شعب'!$AG$20*'تعداد شعب'!Z20</f>
        <v>0</v>
      </c>
      <c r="AA20" s="12">
        <f>'تعداد شعب'!$B$20/'تعداد شعب'!$AG$20*'تعداد شعب'!AA20</f>
        <v>0</v>
      </c>
      <c r="AB20" s="12">
        <f>'تعداد شعب'!$B$20/'تعداد شعب'!$AG$20*'تعداد شعب'!AB20</f>
        <v>0</v>
      </c>
      <c r="AC20" s="12">
        <f>'تعداد شعب'!$B$20/'تعداد شعب'!$AG$20*'تعداد شعب'!AC20</f>
        <v>0</v>
      </c>
      <c r="AD20" s="12">
        <f>'تعداد شعب'!$B$20/'تعداد شعب'!$AG$20*'تعداد شعب'!AD20</f>
        <v>0</v>
      </c>
      <c r="AE20" s="12">
        <f>'تعداد شعب'!B20/'تعداد شعب'!AG20*'تعداد شعب'!AE20</f>
        <v>0</v>
      </c>
      <c r="AF20" s="12">
        <f>'تعداد شعب'!B20/'تعداد شعب'!AG20*'تعداد شعب'!AF20</f>
        <v>0</v>
      </c>
    </row>
    <row r="21" spans="1:32" ht="27.75" customHeight="1">
      <c r="A21" s="10" t="s">
        <v>17</v>
      </c>
      <c r="B21" s="30">
        <f t="shared" si="0"/>
        <v>790.04003805245418</v>
      </c>
      <c r="C21" s="12">
        <f>'تعداد شعب'!$B$21/'تعداد شعب'!$AG$21*'تعداد شعب'!C21</f>
        <v>0</v>
      </c>
      <c r="D21" s="12">
        <f>'تعداد شعب'!$B$21/'تعداد شعب'!$AG$21*'تعداد شعب'!D21</f>
        <v>150.51008303677344</v>
      </c>
      <c r="E21" s="12">
        <f>'تعداد شعب'!$B$21/'تعداد شعب'!$AG$21*'تعداد شعب'!E21</f>
        <v>0</v>
      </c>
      <c r="F21" s="12">
        <f>'تعداد شعب'!$B$21/'تعداد شعب'!$AG$21*'تعداد شعب'!F21</f>
        <v>0</v>
      </c>
      <c r="G21" s="12">
        <f>'تعداد شعب'!$B$21/'تعداد شعب'!$AG$21*'تعداد شعب'!G21</f>
        <v>0</v>
      </c>
      <c r="H21" s="12">
        <f>'تعداد شعب'!$B$21/'تعداد شعب'!$AG$21*'تعداد شعب'!H21</f>
        <v>0</v>
      </c>
      <c r="I21" s="12">
        <f>'تعداد شعب'!$B$21/'تعداد شعب'!$AG$21*'تعداد شعب'!I21</f>
        <v>72.261943276178172</v>
      </c>
      <c r="J21" s="12">
        <f>'تعداد شعب'!$B$4/'تعداد شعب'!$AG$4*'تعداد شعب'!J21</f>
        <v>27.142054659808839</v>
      </c>
      <c r="K21" s="12">
        <f>'تعداد شعب'!$B$21/'تعداد شعب'!$AG$21*'تعداد شعب'!K21</f>
        <v>222.42045604323184</v>
      </c>
      <c r="L21" s="12">
        <f>'تعداد شعب'!$B$21/'تعداد شعب'!$AG$21*'تعداد شعب'!L21</f>
        <v>80.443078471548219</v>
      </c>
      <c r="M21" s="12">
        <f>'تعداد شعب'!$B$21/'تعداد شعب'!$AG$21*'تعداد شعب'!M21</f>
        <v>138.3476520843069</v>
      </c>
      <c r="N21" s="12">
        <f>'تعداد شعب'!$B$21/'تعداد شعب'!$AG$21*'تعداد شعب'!N21</f>
        <v>0</v>
      </c>
      <c r="O21" s="12">
        <f>'تعداد شعب'!$B$21/'تعداد شعب'!$AG$21*'تعداد شعب'!O21</f>
        <v>0</v>
      </c>
      <c r="P21" s="12">
        <f>'تعداد شعب'!$B$21/'تعداد شعب'!$AG$21*'تعداد شعب'!P21</f>
        <v>0</v>
      </c>
      <c r="Q21" s="12">
        <f>'تعداد شعب'!$B$21/'تعداد شعب'!$AG$21*'تعداد شعب'!Q21</f>
        <v>47.129419940807843</v>
      </c>
      <c r="R21" s="12">
        <f>'تعداد شعب'!$B$21/'تعداد شعب'!$AG$21*'تعداد شعب'!R21</f>
        <v>10.357070107959789</v>
      </c>
      <c r="S21" s="12">
        <f>'تعداد شعب'!$B$21/'تعداد شعب'!$AG$21*'تعداد شعب'!S21</f>
        <v>0</v>
      </c>
      <c r="T21" s="12">
        <f>'تعداد شعب'!$B$21/'تعداد شعب'!$AG$21*'تعداد شعب'!T21</f>
        <v>0</v>
      </c>
      <c r="U21" s="12">
        <f>'تعداد شعب'!$B$21/'تعداد شعب'!$AG$21*'تعداد شعب'!U21</f>
        <v>0</v>
      </c>
      <c r="V21" s="12">
        <f>'تعداد شعب'!$B$21/'تعداد شعب'!$AG$21*'تعداد شعب'!V21</f>
        <v>0</v>
      </c>
      <c r="W21" s="12">
        <f>'تعداد شعب'!$B$21/'تعداد شعب'!$AG$21*'تعداد شعب'!W21</f>
        <v>0</v>
      </c>
      <c r="X21" s="12">
        <f>'تعداد شعب'!$B$21/'تعداد شعب'!$AG$21*'تعداد شعب'!X21</f>
        <v>0</v>
      </c>
      <c r="Y21" s="12">
        <f>'تعداد شعب'!$B$21/'تعداد شعب'!$AG$21*'تعداد شعب'!Y21</f>
        <v>0</v>
      </c>
      <c r="Z21" s="12">
        <f>'تعداد شعب'!$B$21/'تعداد شعب'!$AG$21*'تعداد شعب'!Z21</f>
        <v>0</v>
      </c>
      <c r="AA21" s="12">
        <f>'تعداد شعب'!$B$21/'تعداد شعب'!$AG$21*'تعداد شعب'!AA21</f>
        <v>0</v>
      </c>
      <c r="AB21" s="12">
        <f>'تعداد شعب'!$B$21/'تعداد شعب'!$AG$21*'تعداد شعب'!AB21</f>
        <v>0</v>
      </c>
      <c r="AC21" s="12">
        <f>'تعداد شعب'!$B$21/'تعداد شعب'!$AG$21*'تعداد شعب'!AC21</f>
        <v>0</v>
      </c>
      <c r="AD21" s="12">
        <f>'تعداد شعب'!$B$21/'تعداد شعب'!$AG$21*'تعداد شعب'!AD21</f>
        <v>0</v>
      </c>
      <c r="AE21" s="12">
        <f>'تعداد شعب'!B21/'تعداد شعب'!AG21*'تعداد شعب'!AE21</f>
        <v>41.428280431839156</v>
      </c>
      <c r="AF21" s="12">
        <f>'تعداد شعب'!B21/'تعداد شعب'!AG21*'تعداد شعب'!AF21</f>
        <v>0</v>
      </c>
    </row>
    <row r="22" spans="1:32" ht="27.75" customHeight="1">
      <c r="A22" s="10" t="s">
        <v>18</v>
      </c>
      <c r="B22" s="30">
        <f t="shared" si="0"/>
        <v>749.81793296136561</v>
      </c>
      <c r="C22" s="12">
        <f>'تعداد شعب'!$B$22/'تعداد شعب'!$AG$22*'تعداد شعب'!C22</f>
        <v>0</v>
      </c>
      <c r="D22" s="12">
        <f>'تعداد شعب'!$B$22/'تعداد شعب'!$AG$22*'تعداد شعب'!D22</f>
        <v>0</v>
      </c>
      <c r="E22" s="12">
        <f>'تعداد شعب'!$B$22/'تعداد شعب'!$AG$22*'تعداد شعب'!E22</f>
        <v>0</v>
      </c>
      <c r="F22" s="12">
        <f>'تعداد شعب'!$B$22/'تعداد شعب'!$AG$22*'تعداد شعب'!F22</f>
        <v>0</v>
      </c>
      <c r="G22" s="12">
        <f>'تعداد شعب'!$B$22/'تعداد شعب'!$AG$22*'تعداد شعب'!G22</f>
        <v>0</v>
      </c>
      <c r="H22" s="12">
        <f>'تعداد شعب'!$B$22/'تعداد شعب'!$AG$22*'تعداد شعب'!H22</f>
        <v>0</v>
      </c>
      <c r="I22" s="12">
        <f>'تعداد شعب'!$B$22/'تعداد شعب'!$AG$22*'تعداد شعب'!I22</f>
        <v>28.768094811605671</v>
      </c>
      <c r="J22" s="12">
        <f>'تعداد شعب'!$B$4/'تعداد شعب'!$AG$4*'تعداد شعب'!J22</f>
        <v>40.71308198971326</v>
      </c>
      <c r="K22" s="12">
        <f>'تعداد شعب'!$B$22/'تعداد شعب'!$AG$22*'تعداد شعب'!K22</f>
        <v>261.61754597904644</v>
      </c>
      <c r="L22" s="12">
        <f>'تعداد شعب'!$B$22/'تعداد شعب'!$AG$22*'تعداد شعب'!L22</f>
        <v>138.77532232196785</v>
      </c>
      <c r="M22" s="12">
        <f>'تعداد شعب'!$B$22/'تعداد شعب'!$AG$22*'تعداد شعب'!M22</f>
        <v>119.33431921851241</v>
      </c>
      <c r="N22" s="12">
        <f>'تعداد شعب'!$B$22/'تعداد شعب'!$AG$22*'تعداد شعب'!N22</f>
        <v>0</v>
      </c>
      <c r="O22" s="12">
        <f>'تعداد شعب'!$B$22/'تعداد شعب'!$AG$22*'تعداد شعب'!O22</f>
        <v>75.731394888671346</v>
      </c>
      <c r="P22" s="12">
        <f>'تعداد شعب'!$B$22/'تعداد شعب'!$AG$22*'تعداد شعب'!P22</f>
        <v>0</v>
      </c>
      <c r="Q22" s="12">
        <f>'تعداد شعب'!$B$22/'تعداد شعب'!$AG$22*'تعداد شعب'!Q22</f>
        <v>81.304701006019442</v>
      </c>
      <c r="R22" s="12">
        <f>'تعداد شعب'!$B$22/'تعداد شعب'!$AG$22*'تعداد شعب'!R22</f>
        <v>3.5734727458290809</v>
      </c>
      <c r="S22" s="12">
        <f>'تعداد شعب'!$B$22/'تعداد شعب'!$AG$22*'تعداد شعب'!S22</f>
        <v>0</v>
      </c>
      <c r="T22" s="12">
        <f>'تعداد شعب'!$B$22/'تعداد شعب'!$AG$22*'تعداد شعب'!T22</f>
        <v>0</v>
      </c>
      <c r="U22" s="12">
        <f>'تعداد شعب'!$B$22/'تعداد شعب'!$AG$22*'تعداد شعب'!U22</f>
        <v>0</v>
      </c>
      <c r="V22" s="12">
        <f>'تعداد شعب'!$B$22/'تعداد شعب'!$AG$22*'تعداد شعب'!V22</f>
        <v>0</v>
      </c>
      <c r="W22" s="12">
        <f>'تعداد شعب'!$B$22/'تعداد شعب'!$AG$22*'تعداد شعب'!W22</f>
        <v>0</v>
      </c>
      <c r="X22" s="12">
        <f>'تعداد شعب'!$B$22/'تعداد شعب'!$AG$22*'تعداد شعب'!X22</f>
        <v>0</v>
      </c>
      <c r="Y22" s="12">
        <f>'تعداد شعب'!$B$22/'تعداد شعب'!$AG$22*'تعداد شعب'!Y22</f>
        <v>0</v>
      </c>
      <c r="Z22" s="12">
        <f>'تعداد شعب'!$B$22/'تعداد شعب'!$AG$22*'تعداد شعب'!Z22</f>
        <v>0</v>
      </c>
      <c r="AA22" s="12">
        <f>'تعداد شعب'!$B$22/'تعداد شعب'!$AG$22*'تعداد شعب'!AA22</f>
        <v>0</v>
      </c>
      <c r="AB22" s="12">
        <f>'تعداد شعب'!$B$22/'تعداد شعب'!$AG$22*'تعداد شعب'!AB22</f>
        <v>0</v>
      </c>
      <c r="AC22" s="12">
        <f>'تعداد شعب'!$B$22/'تعداد شعب'!$AG$22*'تعداد شعب'!AC22</f>
        <v>0</v>
      </c>
      <c r="AD22" s="12">
        <f>'تعداد شعب'!$B$22/'تعداد شعب'!$AG$22*'تعداد شعب'!AD22</f>
        <v>0</v>
      </c>
      <c r="AE22" s="12">
        <f>'تعداد شعب'!B22/'تعداد شعب'!AG22*'تعداد شعب'!AE22</f>
        <v>0</v>
      </c>
      <c r="AF22" s="12">
        <f>'تعداد شعب'!B22/'تعداد شعب'!AG22*'تعداد شعب'!AF22</f>
        <v>0</v>
      </c>
    </row>
    <row r="23" spans="1:32" ht="27.75" customHeight="1">
      <c r="A23" s="10" t="s">
        <v>19</v>
      </c>
      <c r="B23" s="30">
        <f t="shared" si="0"/>
        <v>918.78210731016725</v>
      </c>
      <c r="C23" s="12">
        <f>'تعداد شعب'!$B$23/'تعداد شعب'!$AG$23*'تعداد شعب'!C23</f>
        <v>0</v>
      </c>
      <c r="D23" s="12">
        <f>'تعداد شعب'!$B$23/'تعداد شعب'!$AG$23*'تعداد شعب'!D23</f>
        <v>204.36556894751831</v>
      </c>
      <c r="E23" s="12">
        <f>'تعداد شعب'!$B$23/'تعداد شعب'!$AG$23*'تعداد شعب'!E23</f>
        <v>0</v>
      </c>
      <c r="F23" s="12">
        <f>'تعداد شعب'!$B$23/'تعداد شعب'!$AG$23*'تعداد شعب'!F23</f>
        <v>0</v>
      </c>
      <c r="G23" s="12">
        <f>'تعداد شعب'!$B$23/'تعداد شعب'!$AG$23*'تعداد شعب'!G23</f>
        <v>0</v>
      </c>
      <c r="H23" s="12">
        <f>'تعداد شعب'!$B$23/'تعداد شعب'!$AG$23*'تعداد شعب'!H23</f>
        <v>0</v>
      </c>
      <c r="I23" s="12">
        <f>'تعداد شعب'!$B$23/'تعداد شعب'!$AG$23*'تعداد شعب'!I23</f>
        <v>40.389816835911553</v>
      </c>
      <c r="J23" s="12">
        <f>'تعداد شعب'!$B$4/'تعداد شعب'!$AG$4*'تعداد شعب'!J23</f>
        <v>149.2813006289486</v>
      </c>
      <c r="K23" s="12">
        <f>'تعداد شعب'!$B$23/'تعداد شعب'!$AG$23*'تعداد شعب'!K23</f>
        <v>177.53108095283287</v>
      </c>
      <c r="L23" s="12">
        <f>'تعداد شعب'!$B$23/'تعداد شعب'!$AG$23*'تعداد شعب'!L23</f>
        <v>80.227294296289259</v>
      </c>
      <c r="M23" s="12">
        <f>'تعداد شعب'!$B$23/'تعداد شعب'!$AG$23*'تعداد شعب'!M23</f>
        <v>251.3144158678941</v>
      </c>
      <c r="N23" s="12">
        <f>'تعداد شعب'!$B$23/'تعداد شعب'!$AG$23*'تعداد شعب'!N23</f>
        <v>0</v>
      </c>
      <c r="O23" s="12">
        <f>'تعداد شعب'!$B$23/'تعداد شعب'!$AG$23*'تعداد شعب'!O23</f>
        <v>0</v>
      </c>
      <c r="P23" s="12">
        <f>'تعداد شعب'!$B$23/'تعداد شعب'!$AG$23*'تعداد شعب'!P23</f>
        <v>0</v>
      </c>
      <c r="Q23" s="12">
        <f>'تعداد شعب'!$B$23/'تعداد شعب'!$AG$23*'تعداد شعب'!Q23</f>
        <v>0</v>
      </c>
      <c r="R23" s="12">
        <f>'تعداد شعب'!$B$23/'تعداد شعب'!$AG$23*'تعداد شعب'!R23</f>
        <v>10.034165322197971</v>
      </c>
      <c r="S23" s="12">
        <f>'تعداد شعب'!$B$23/'تعداد شعب'!$AG$23*'تعداد شعب'!S23</f>
        <v>5.6384644585745471</v>
      </c>
      <c r="T23" s="12">
        <f>'تعداد شعب'!$B$23/'تعداد شعب'!$AG$23*'تعداد شعب'!T23</f>
        <v>0</v>
      </c>
      <c r="U23" s="12">
        <f>'تعداد شعب'!$B$23/'تعداد شعب'!$AG$23*'تعداد شعب'!U23</f>
        <v>0</v>
      </c>
      <c r="V23" s="12">
        <f>'تعداد شعب'!$B$23/'تعداد شعب'!$AG$23*'تعداد شعب'!V23</f>
        <v>0</v>
      </c>
      <c r="W23" s="12">
        <f>'تعداد شعب'!$B$23/'تعداد شعب'!$AG$23*'تعداد شعب'!W23</f>
        <v>0</v>
      </c>
      <c r="X23" s="12">
        <f>'تعداد شعب'!$B$23/'تعداد شعب'!$AG$23*'تعداد شعب'!X23</f>
        <v>0</v>
      </c>
      <c r="Y23" s="12">
        <f>'تعداد شعب'!$B$23/'تعداد شعب'!$AG$23*'تعداد شعب'!Y23</f>
        <v>0</v>
      </c>
      <c r="Z23" s="12">
        <f>'تعداد شعب'!$B$23/'تعداد شعب'!$AG$23*'تعداد شعب'!Z23</f>
        <v>0</v>
      </c>
      <c r="AA23" s="12">
        <f>'تعداد شعب'!$B$23/'تعداد شعب'!$AG$23*'تعداد شعب'!AA23</f>
        <v>0</v>
      </c>
      <c r="AB23" s="12">
        <f>'تعداد شعب'!$B$23/'تعداد شعب'!$AG$23*'تعداد شعب'!AB23</f>
        <v>0</v>
      </c>
      <c r="AC23" s="12">
        <f>'تعداد شعب'!$B$23/'تعداد شعب'!$AG$23*'تعداد شعب'!AC23</f>
        <v>0</v>
      </c>
      <c r="AD23" s="12">
        <f>'تعداد شعب'!$B$23/'تعداد شعب'!$AG$23*'تعداد شعب'!AD23</f>
        <v>0</v>
      </c>
      <c r="AE23" s="12">
        <f>'تعداد شعب'!B23/'تعداد شعب'!AG23*'تعداد شعب'!AE23</f>
        <v>0</v>
      </c>
      <c r="AF23" s="12">
        <f>'تعداد شعب'!B23/'تعداد شعب'!AG23*'تعداد شعب'!AF23</f>
        <v>0</v>
      </c>
    </row>
    <row r="24" spans="1:32" ht="27.75" customHeight="1">
      <c r="A24" s="10" t="s">
        <v>20</v>
      </c>
      <c r="B24" s="30">
        <f t="shared" si="0"/>
        <v>1914.5457074112041</v>
      </c>
      <c r="C24" s="12">
        <f>'تعداد شعب'!$B$24/'تعداد شعب'!$AG$24*'تعداد شعب'!C24</f>
        <v>0</v>
      </c>
      <c r="D24" s="12">
        <f>'تعداد شعب'!$B$24/'تعداد شعب'!$AG$24*'تعداد شعب'!D24</f>
        <v>0</v>
      </c>
      <c r="E24" s="12">
        <f>'تعداد شعب'!$B$24/'تعداد شعب'!$AG$24*'تعداد شعب'!E24</f>
        <v>0</v>
      </c>
      <c r="F24" s="12">
        <f>'تعداد شعب'!$B$24/'تعداد شعب'!$AG$24*'تعداد شعب'!F24</f>
        <v>0</v>
      </c>
      <c r="G24" s="12">
        <f>'تعداد شعب'!$B$24/'تعداد شعب'!$AG$24*'تعداد شعب'!G24</f>
        <v>0</v>
      </c>
      <c r="H24" s="12">
        <f>'تعداد شعب'!$B$24/'تعداد شعب'!$AG$24*'تعداد شعب'!H24</f>
        <v>0</v>
      </c>
      <c r="I24" s="12">
        <f>'تعداد شعب'!$B$24/'تعداد شعب'!$AG$24*'تعداد شعب'!I24</f>
        <v>0</v>
      </c>
      <c r="J24" s="12">
        <f>'تعداد شعب'!$B$4/'تعداد شعب'!$AG$4*'تعداد شعب'!J24</f>
        <v>94.997191309330915</v>
      </c>
      <c r="K24" s="12">
        <f>'تعداد شعب'!$B$24/'تعداد شعب'!$AG$24*'تعداد شعب'!K24</f>
        <v>579.49800042096399</v>
      </c>
      <c r="L24" s="12">
        <f>'تعداد شعب'!$B$24/'تعداد شعب'!$AG$24*'تعداد شعب'!L24</f>
        <v>178.34380731875996</v>
      </c>
      <c r="M24" s="12">
        <f>'تعداد شعب'!$B$24/'تعداد شعب'!$AG$24*'تعداد شعب'!M24</f>
        <v>814.7232161650179</v>
      </c>
      <c r="N24" s="12">
        <f>'تعداد شعب'!$B$24/'تعداد شعب'!$AG$24*'تعداد شعب'!N24</f>
        <v>141.45743753194819</v>
      </c>
      <c r="O24" s="12">
        <f>'تعداد شعب'!$B$24/'تعداد شعب'!$AG$24*'تعداد شعب'!O24</f>
        <v>68.938118290886138</v>
      </c>
      <c r="P24" s="12">
        <f>'تعداد شعب'!$B$24/'تعداد شعب'!$AG$24*'تعداد شعب'!P24</f>
        <v>0</v>
      </c>
      <c r="Q24" s="12">
        <f>'تعداد شعب'!$B$24/'تعداد شعب'!$AG$24*'تعداد شعب'!Q24</f>
        <v>0</v>
      </c>
      <c r="R24" s="12">
        <f>'تعداد شعب'!$B$24/'تعداد شعب'!$AG$24*'تعداد شعب'!R24</f>
        <v>29.27631776768801</v>
      </c>
      <c r="S24" s="12">
        <f>'تعداد شعب'!$B$24/'تعداد شعب'!$AG$24*'تعداد شعب'!S24</f>
        <v>7.3116186066091355</v>
      </c>
      <c r="T24" s="12">
        <f>'تعداد شعب'!$B$24/'تعداد شعب'!$AG$24*'تعداد شعب'!T24</f>
        <v>0</v>
      </c>
      <c r="U24" s="12">
        <f>'تعداد شعب'!$B$24/'تعداد شعب'!$AG$24*'تعداد شعب'!U24</f>
        <v>0</v>
      </c>
      <c r="V24" s="12">
        <f>'تعداد شعب'!$B$24/'تعداد شعب'!$AG$24*'تعداد شعب'!V24</f>
        <v>0</v>
      </c>
      <c r="W24" s="12">
        <f>'تعداد شعب'!$B$24/'تعداد شعب'!$AG$24*'تعداد شعب'!W24</f>
        <v>0</v>
      </c>
      <c r="X24" s="12">
        <f>'تعداد شعب'!$B$24/'تعداد شعب'!$AG$24*'تعداد شعب'!X24</f>
        <v>0</v>
      </c>
      <c r="Y24" s="12">
        <f>'تعداد شعب'!$B$24/'تعداد شعب'!$AG$24*'تعداد شعب'!Y24</f>
        <v>0</v>
      </c>
      <c r="Z24" s="12">
        <f>'تعداد شعب'!$B$24/'تعداد شعب'!$AG$24*'تعداد شعب'!Z24</f>
        <v>0</v>
      </c>
      <c r="AA24" s="12">
        <f>'تعداد شعب'!$B$24/'تعداد شعب'!$AG$24*'تعداد شعب'!AA24</f>
        <v>0</v>
      </c>
      <c r="AB24" s="12">
        <f>'تعداد شعب'!$B$24/'تعداد شعب'!$AG$24*'تعداد شعب'!AB24</f>
        <v>0</v>
      </c>
      <c r="AC24" s="12">
        <f>'تعداد شعب'!$B$24/'تعداد شعب'!$AG$24*'تعداد شعب'!AC24</f>
        <v>0</v>
      </c>
      <c r="AD24" s="12">
        <f>'تعداد شعب'!$B$24/'تعداد شعب'!$AG$24*'تعداد شعب'!AD24</f>
        <v>0</v>
      </c>
      <c r="AE24" s="12">
        <f>'تعداد شعب'!B24/'تعداد شعب'!AG24*'تعداد شعب'!AE24</f>
        <v>0</v>
      </c>
      <c r="AF24" s="12">
        <f>'تعداد شعب'!B24/'تعداد شعب'!AG24*'تعداد شعب'!AF24</f>
        <v>0</v>
      </c>
    </row>
    <row r="25" spans="1:32" ht="27.75" customHeight="1">
      <c r="A25" s="10" t="s">
        <v>21</v>
      </c>
      <c r="B25" s="30">
        <f t="shared" si="0"/>
        <v>1217.8518752294124</v>
      </c>
      <c r="C25" s="12">
        <f>'تعداد شعب'!$B$25/'تعداد شعب'!$AG$25*'تعداد شعب'!C25</f>
        <v>0</v>
      </c>
      <c r="D25" s="12">
        <f>'تعداد شعب'!$B$25/'تعداد شعب'!$AG$25*'تعداد شعب'!D25</f>
        <v>131.22849823106017</v>
      </c>
      <c r="E25" s="12">
        <f>'تعداد شعب'!$B$25/'تعداد شعب'!$AG$25*'تعداد شعب'!E25</f>
        <v>0</v>
      </c>
      <c r="F25" s="12">
        <f>'تعداد شعب'!$B$25/'تعداد شعب'!$AG$25*'تعداد شعب'!F25</f>
        <v>0</v>
      </c>
      <c r="G25" s="12">
        <f>'تعداد شعب'!$B$25/'تعداد شعب'!$AG$25*'تعداد شعب'!G25</f>
        <v>0</v>
      </c>
      <c r="H25" s="12">
        <f>'تعداد شعب'!$B$25/'تعداد شعب'!$AG$25*'تعداد شعب'!H25</f>
        <v>0</v>
      </c>
      <c r="I25" s="12">
        <f>'تعداد شعب'!$B$25/'تعداد شعب'!$AG$25*'تعداد شعب'!I25</f>
        <v>195.47578382335004</v>
      </c>
      <c r="J25" s="12">
        <f>'تعداد شعب'!$B$4/'تعداد شعب'!$AG$4*'تعداد شعب'!J25</f>
        <v>149.2813006289486</v>
      </c>
      <c r="K25" s="12">
        <f>'تعداد شعب'!$B$25/'تعداد شعب'!$AG$25*'تعداد شعب'!K25</f>
        <v>366.30572160546541</v>
      </c>
      <c r="L25" s="12">
        <f>'تعداد شعب'!$B$25/'تعداد شعب'!$AG$25*'تعداد شعب'!L25</f>
        <v>110.93668415273881</v>
      </c>
      <c r="M25" s="12">
        <f>'تعداد شعب'!$B$25/'تعداد شعب'!$AG$25*'تعداد شعب'!M25</f>
        <v>258.00170794192996</v>
      </c>
      <c r="N25" s="12">
        <f>'تعداد شعب'!$B$25/'تعداد شعب'!$AG$25*'تعداد شعب'!N25</f>
        <v>0</v>
      </c>
      <c r="O25" s="12">
        <f>'تعداد شعب'!$B$25/'تعداد شعب'!$AG$25*'تعداد شعب'!O25</f>
        <v>0</v>
      </c>
      <c r="P25" s="12">
        <f>'تعداد شعب'!$B$25/'تعداد شعب'!$AG$25*'تعداد شعب'!P25</f>
        <v>0</v>
      </c>
      <c r="Q25" s="12">
        <f>'تعداد شعب'!$B$25/'تعداد شعب'!$AG$25*'تعداد شعب'!Q25</f>
        <v>0</v>
      </c>
      <c r="R25" s="12">
        <f>'تعداد شعب'!$B$25/'تعداد شعب'!$AG$25*'تعداد شعب'!R25</f>
        <v>6.6221788459192412</v>
      </c>
      <c r="S25" s="12">
        <f>'تعداد شعب'!$B$25/'تعداد شعب'!$AG$25*'تعداد شعب'!S25</f>
        <v>0</v>
      </c>
      <c r="T25" s="12">
        <f>'تعداد شعب'!$B$25/'تعداد شعب'!$AG$25*'تعداد شعب'!T25</f>
        <v>0</v>
      </c>
      <c r="U25" s="12">
        <f>'تعداد شعب'!$B$25/'تعداد شعب'!$AG$25*'تعداد شعب'!U25</f>
        <v>0</v>
      </c>
      <c r="V25" s="12">
        <f>'تعداد شعب'!$B$25/'تعداد شعب'!$AG$25*'تعداد شعب'!V25</f>
        <v>0</v>
      </c>
      <c r="W25" s="12">
        <f>'تعداد شعب'!$B$25/'تعداد شعب'!$AG$25*'تعداد شعب'!W25</f>
        <v>0</v>
      </c>
      <c r="X25" s="12">
        <f>'تعداد شعب'!$B$25/'تعداد شعب'!$AG$25*'تعداد شعب'!X25</f>
        <v>0</v>
      </c>
      <c r="Y25" s="12">
        <f>'تعداد شعب'!$B$25/'تعداد شعب'!$AG$25*'تعداد شعب'!Y25</f>
        <v>0</v>
      </c>
      <c r="Z25" s="12">
        <f>'تعداد شعب'!$B$25/'تعداد شعب'!$AG$25*'تعداد شعب'!Z25</f>
        <v>0</v>
      </c>
      <c r="AA25" s="12">
        <f>'تعداد شعب'!$B$25/'تعداد شعب'!$AG$25*'تعداد شعب'!AA25</f>
        <v>0</v>
      </c>
      <c r="AB25" s="12">
        <f>'تعداد شعب'!$B$25/'تعداد شعب'!$AG$25*'تعداد شعب'!AB25</f>
        <v>0</v>
      </c>
      <c r="AC25" s="12">
        <f>'تعداد شعب'!$B$25/'تعداد شعب'!$AG$25*'تعداد شعب'!AC25</f>
        <v>0</v>
      </c>
      <c r="AD25" s="12">
        <f>'تعداد شعب'!$B$25/'تعداد شعب'!$AG$25*'تعداد شعب'!AD25</f>
        <v>0</v>
      </c>
      <c r="AE25" s="12">
        <f>'تعداد شعب'!B25/'تعداد شعب'!AG25*'تعداد شعب'!AE25</f>
        <v>0</v>
      </c>
      <c r="AF25" s="12">
        <f>'تعداد شعب'!B25/'تعداد شعب'!AG25*'تعداد شعب'!AF25</f>
        <v>0</v>
      </c>
    </row>
    <row r="26" spans="1:32" ht="27.75" customHeight="1">
      <c r="A26" s="10" t="s">
        <v>61</v>
      </c>
      <c r="B26" s="30">
        <f t="shared" si="0"/>
        <v>420.3082236901181</v>
      </c>
      <c r="C26" s="12">
        <f>'تعداد شعب'!$B$26/'تعداد شعب'!$AG$26*'تعداد شعب'!C26</f>
        <v>0</v>
      </c>
      <c r="D26" s="12">
        <f>'تعداد شعب'!$B$26/'تعداد شعب'!$AG$26*'تعداد شعب'!D26</f>
        <v>0</v>
      </c>
      <c r="E26" s="12">
        <f>'تعداد شعب'!$B$26/'تعداد شعب'!$AG$26*'تعداد شعب'!E26</f>
        <v>0</v>
      </c>
      <c r="F26" s="12">
        <f>'تعداد شعب'!$B$26/'تعداد شعب'!$AG$26*'تعداد شعب'!F26</f>
        <v>0</v>
      </c>
      <c r="G26" s="12">
        <f>'تعداد شعب'!$B$26/'تعداد شعب'!$AG$26*'تعداد شعب'!G26</f>
        <v>0</v>
      </c>
      <c r="H26" s="12">
        <f>'تعداد شعب'!$B$26/'تعداد شعب'!$AG$26*'تعداد شعب'!H26</f>
        <v>0</v>
      </c>
      <c r="I26" s="12">
        <f>'تعداد شعب'!$B$26/'تعداد شعب'!$AG$26*'تعداد شعب'!I26</f>
        <v>0</v>
      </c>
      <c r="J26" s="12">
        <f>'تعداد شعب'!$B$4/'تعداد شعب'!$AG$4*'تعداد شعب'!J26</f>
        <v>40.71308198971326</v>
      </c>
      <c r="K26" s="12">
        <f>'تعداد شعب'!$B$26/'تعداد شعب'!$AG$26*'تعداد شعب'!K26</f>
        <v>114.87179487179489</v>
      </c>
      <c r="L26" s="12">
        <f>'تعداد شعب'!$B$26/'تعداد شعب'!$AG$26*'تعداد شعب'!L26</f>
        <v>107.53036437246962</v>
      </c>
      <c r="M26" s="12">
        <f>'تعداد شعب'!$B$26/'تعداد شعب'!$AG$26*'تعداد شعب'!M26</f>
        <v>157.19298245614036</v>
      </c>
      <c r="N26" s="12">
        <f>'تعداد شعب'!$B$26/'تعداد شعب'!$AG$26*'تعداد شعب'!N26</f>
        <v>0</v>
      </c>
      <c r="O26" s="12">
        <f>'تعداد شعب'!$B$26/'تعداد شعب'!$AG$26*'تعداد شعب'!O26</f>
        <v>0</v>
      </c>
      <c r="P26" s="12">
        <f>'تعداد شعب'!$B$26/'تعداد شعب'!$AG$26*'تعداد شعب'!P26</f>
        <v>0</v>
      </c>
      <c r="Q26" s="12">
        <f>'تعداد شعب'!$B$26/'تعداد شعب'!$AG$26*'تعداد شعب'!Q26</f>
        <v>0</v>
      </c>
      <c r="R26" s="12">
        <f>'تعداد شعب'!$B$26/'تعداد شعب'!$AG$26*'تعداد شعب'!R26</f>
        <v>0</v>
      </c>
      <c r="S26" s="12">
        <f>'تعداد شعب'!$B$26/'تعداد شعب'!$AG$26*'تعداد شعب'!S26</f>
        <v>0</v>
      </c>
      <c r="T26" s="12">
        <f>'تعداد شعب'!$B$26/'تعداد شعب'!$AG$26*'تعداد شعب'!T26</f>
        <v>0</v>
      </c>
      <c r="U26" s="12">
        <f>'تعداد شعب'!$B$26/'تعداد شعب'!$AG$26*'تعداد شعب'!U26</f>
        <v>0</v>
      </c>
      <c r="V26" s="12">
        <f>'تعداد شعب'!$B$26/'تعداد شعب'!$AG$26*'تعداد شعب'!V26</f>
        <v>0</v>
      </c>
      <c r="W26" s="12">
        <f>'تعداد شعب'!$B$26/'تعداد شعب'!$AG$26*'تعداد شعب'!W26</f>
        <v>0</v>
      </c>
      <c r="X26" s="12">
        <f>'تعداد شعب'!$B$26/'تعداد شعب'!$AG$26*'تعداد شعب'!X26</f>
        <v>0</v>
      </c>
      <c r="Y26" s="12">
        <f>'تعداد شعب'!$B$26/'تعداد شعب'!$AG$26*'تعداد شعب'!Y26</f>
        <v>0</v>
      </c>
      <c r="Z26" s="12">
        <f>'تعداد شعب'!$B$26/'تعداد شعب'!$AG$26*'تعداد شعب'!Z26</f>
        <v>0</v>
      </c>
      <c r="AA26" s="12">
        <f>'تعداد شعب'!$B$26/'تعداد شعب'!$AG$26*'تعداد شعب'!AA26</f>
        <v>0</v>
      </c>
      <c r="AB26" s="12">
        <f>'تعداد شعب'!$B$26/'تعداد شعب'!$AG$26*'تعداد شعب'!AB26</f>
        <v>0</v>
      </c>
      <c r="AC26" s="12">
        <f>'تعداد شعب'!$B$26/'تعداد شعب'!$AG$26*'تعداد شعب'!AC26</f>
        <v>0</v>
      </c>
      <c r="AD26" s="12">
        <f>'تعداد شعب'!$B$26/'تعداد شعب'!$AG$26*'تعداد شعب'!AD26</f>
        <v>0</v>
      </c>
      <c r="AE26" s="12">
        <f>'تعداد شعب'!B26/'تعداد شعب'!AG26*'تعداد شعب'!AE26</f>
        <v>0</v>
      </c>
      <c r="AF26" s="12">
        <f>'تعداد شعب'!B26/'تعداد شعب'!AG26*'تعداد شعب'!AF26</f>
        <v>0</v>
      </c>
    </row>
    <row r="27" spans="1:32" ht="27.75" customHeight="1">
      <c r="A27" s="10" t="s">
        <v>22</v>
      </c>
      <c r="B27" s="11">
        <f t="shared" si="0"/>
        <v>1101.1913213865207</v>
      </c>
      <c r="C27" s="12">
        <f>'تعداد شعب'!$B$27/'تعداد شعب'!$AG$27*'تعداد شعب'!C27</f>
        <v>0</v>
      </c>
      <c r="D27" s="12">
        <f>'تعداد شعب'!$B$27/'تعداد شعب'!$AG$27*'تعداد شعب'!D27</f>
        <v>0</v>
      </c>
      <c r="E27" s="12">
        <f>'تعداد شعب'!$B$27/'تعداد شعب'!$AG$27*'تعداد شعب'!E27</f>
        <v>0</v>
      </c>
      <c r="F27" s="12">
        <f>'تعداد شعب'!$B$27/'تعداد شعب'!$AG$27*'تعداد شعب'!F27</f>
        <v>0</v>
      </c>
      <c r="G27" s="12">
        <f>'تعداد شعب'!$B$27/'تعداد شعب'!$AG$27*'تعداد شعب'!G27</f>
        <v>0</v>
      </c>
      <c r="H27" s="12">
        <f>'تعداد شعب'!$B$27/'تعداد شعب'!$AG$27*'تعداد شعب'!H27</f>
        <v>0</v>
      </c>
      <c r="I27" s="12">
        <f>'تعداد شعب'!$B$27/'تعداد شعب'!$AG$27*'تعداد شعب'!I27</f>
        <v>0</v>
      </c>
      <c r="J27" s="12">
        <f>'تعداد شعب'!$B$4/'تعداد شعب'!$AG$4*'تعداد شعب'!J27</f>
        <v>81.426163979426519</v>
      </c>
      <c r="K27" s="12">
        <f>'تعداد شعب'!$B$27/'تعداد شعب'!$AG$27*'تعداد شعب'!K27</f>
        <v>349.71359009907673</v>
      </c>
      <c r="L27" s="12">
        <f>'تعداد شعب'!$B$27/'تعداد شعب'!$AG$27*'تعداد شعب'!L27</f>
        <v>235.29249653400055</v>
      </c>
      <c r="M27" s="12">
        <f>'تعداد شعب'!$B$27/'تعداد شعب'!$AG$27*'تعداد شعب'!M27</f>
        <v>373.8714367835525</v>
      </c>
      <c r="N27" s="12">
        <f>'تعداد شعب'!$B$27/'تعداد شعب'!$AG$27*'تعداد شعب'!N27</f>
        <v>0</v>
      </c>
      <c r="O27" s="12">
        <f>'تعداد شعب'!$B$27/'تعداد شعب'!$AG$27*'تعداد شعب'!O27</f>
        <v>47.452913130220125</v>
      </c>
      <c r="P27" s="12">
        <f>'تعداد شعب'!$B$27/'تعداد شعب'!$AG$27*'تعداد شعب'!P27</f>
        <v>0</v>
      </c>
      <c r="Q27" s="12">
        <f>'تعداد شعب'!$B$27/'تعداد شعب'!$AG$27*'تعداد شعب'!Q27</f>
        <v>0</v>
      </c>
      <c r="R27" s="12">
        <f>'تعداد شعب'!$B$27/'تعداد شعب'!$AG$27*'تعداد شعب'!R27</f>
        <v>13.434720860244143</v>
      </c>
      <c r="S27" s="12">
        <f>'تعداد شعب'!$B$27/'تعداد شعب'!$AG$27*'تعداد شعب'!S27</f>
        <v>0</v>
      </c>
      <c r="T27" s="12">
        <f>'تعداد شعب'!$B$27/'تعداد شعب'!$AG$27*'تعداد شعب'!T27</f>
        <v>0</v>
      </c>
      <c r="U27" s="12">
        <f>'تعداد شعب'!$B$27/'تعداد شعب'!$AG$27*'تعداد شعب'!U27</f>
        <v>0</v>
      </c>
      <c r="V27" s="12">
        <f>'تعداد شعب'!$B$27/'تعداد شعب'!$AG$27*'تعداد شعب'!V27</f>
        <v>0</v>
      </c>
      <c r="W27" s="12">
        <f>'تعداد شعب'!$B$27/'تعداد شعب'!$AG$27*'تعداد شعب'!W27</f>
        <v>0</v>
      </c>
      <c r="X27" s="12">
        <f>'تعداد شعب'!$B$27/'تعداد شعب'!$AG$27*'تعداد شعب'!X27</f>
        <v>0</v>
      </c>
      <c r="Y27" s="12">
        <f>'تعداد شعب'!$B$27/'تعداد شعب'!$AG$27*'تعداد شعب'!Y27</f>
        <v>0</v>
      </c>
      <c r="Z27" s="12">
        <f>'تعداد شعب'!$B$27/'تعداد شعب'!$AG$27*'تعداد شعب'!Z27</f>
        <v>0</v>
      </c>
      <c r="AA27" s="12">
        <f>'تعداد شعب'!$B$27/'تعداد شعب'!$AG$27*'تعداد شعب'!AA27</f>
        <v>0</v>
      </c>
      <c r="AB27" s="12">
        <f>'تعداد شعب'!$B$27/'تعداد شعب'!$AG$27*'تعداد شعب'!AB27</f>
        <v>0</v>
      </c>
      <c r="AC27" s="12">
        <f>'تعداد شعب'!$B$27/'تعداد شعب'!$AG$27*'تعداد شعب'!AC27</f>
        <v>0</v>
      </c>
      <c r="AD27" s="12">
        <f>'تعداد شعب'!$B$27/'تعداد شعب'!$AG$27*'تعداد شعب'!AD27</f>
        <v>0</v>
      </c>
      <c r="AE27" s="12">
        <f>'تعداد شعب'!B27/'تعداد شعب'!AG27*'تعداد شعب'!AE27</f>
        <v>0</v>
      </c>
      <c r="AF27" s="12">
        <f>'تعداد شعب'!B27/'تعداد شعب'!AG27*'تعداد شعب'!AF27</f>
        <v>0</v>
      </c>
    </row>
    <row r="28" spans="1:32" ht="27.75" customHeight="1">
      <c r="A28" s="10" t="s">
        <v>23</v>
      </c>
      <c r="B28" s="30">
        <f t="shared" si="0"/>
        <v>1564.6249429208758</v>
      </c>
      <c r="C28" s="12">
        <f>'تعداد شعب'!$B$28/'تعداد شعب'!$AG$28*'تعداد شعب'!C28</f>
        <v>0</v>
      </c>
      <c r="D28" s="12">
        <f>'تعداد شعب'!$B$28/'تعداد شعب'!$AG$28*'تعداد شعب'!D28</f>
        <v>16.00775730710625</v>
      </c>
      <c r="E28" s="12">
        <f>'تعداد شعب'!$B$28/'تعداد شعب'!$AG$28*'تعداد شعب'!E28</f>
        <v>0</v>
      </c>
      <c r="F28" s="12">
        <f>'تعداد شعب'!$B$28/'تعداد شعب'!$AG$28*'تعداد شعب'!F28</f>
        <v>0</v>
      </c>
      <c r="G28" s="12">
        <f>'تعداد شعب'!$B$28/'تعداد شعب'!$AG$28*'تعداد شعب'!G28</f>
        <v>0</v>
      </c>
      <c r="H28" s="12">
        <f>'تعداد شعب'!$B$28/'تعداد شعب'!$AG$28*'تعداد شعب'!H28</f>
        <v>0</v>
      </c>
      <c r="I28" s="12">
        <f>'تعداد شعب'!$B$28/'تعداد شعب'!$AG$28*'تعداد شعب'!I28</f>
        <v>286.13866186452424</v>
      </c>
      <c r="J28" s="12">
        <f>'تعداد شعب'!$B$4/'تعداد شعب'!$AG$4*'تعداد شعب'!J28</f>
        <v>135.71027329904419</v>
      </c>
      <c r="K28" s="12">
        <f>'تعداد شعب'!$B$28/'تعداد شعب'!$AG$28*'تعداد شعب'!K28</f>
        <v>425.80634436902625</v>
      </c>
      <c r="L28" s="12">
        <f>'تعداد شعب'!$B$28/'تعداد شعب'!$AG$28*'تعداد شعب'!L28</f>
        <v>238.04869095442581</v>
      </c>
      <c r="M28" s="12">
        <f>'تعداد شعب'!$B$28/'تعداد شعب'!$AG$28*'تعداد شعب'!M28</f>
        <v>404.64053192963013</v>
      </c>
      <c r="N28" s="12">
        <f>'تعداد شعب'!$B$28/'تعداد شعب'!$AG$28*'تعداد شعب'!N28</f>
        <v>0</v>
      </c>
      <c r="O28" s="12">
        <f>'تعداد شعب'!$B$28/'تعداد شعب'!$AG$28*'تعداد شعب'!O28</f>
        <v>0</v>
      </c>
      <c r="P28" s="12">
        <f>'تعداد شعب'!$B$28/'تعداد شعب'!$AG$28*'تعداد شعب'!P28</f>
        <v>36.462113866186456</v>
      </c>
      <c r="Q28" s="12">
        <f>'تعداد شعب'!$B$28/'تعداد شعب'!$AG$28*'تعداد شعب'!Q28</f>
        <v>0</v>
      </c>
      <c r="R28" s="12">
        <f>'تعداد شعب'!$B$28/'تعداد شعب'!$AG$28*'تعداد شعب'!R28</f>
        <v>21.810569330932267</v>
      </c>
      <c r="S28" s="12">
        <f>'تعداد شعب'!$B$28/'تعداد شعب'!$AG$28*'تعداد شعب'!S28</f>
        <v>0</v>
      </c>
      <c r="T28" s="12">
        <f>'تعداد شعب'!$B$28/'تعداد شعب'!$AG$28*'تعداد شعب'!T28</f>
        <v>0</v>
      </c>
      <c r="U28" s="12">
        <f>'تعداد شعب'!$B$28/'تعداد شعب'!$AG$28*'تعداد شعب'!U28</f>
        <v>0</v>
      </c>
      <c r="V28" s="12">
        <f>'تعداد شعب'!$B$28/'تعداد شعب'!$AG$28*'تعداد شعب'!V28</f>
        <v>0</v>
      </c>
      <c r="W28" s="12">
        <f>'تعداد شعب'!$B$28/'تعداد شعب'!$AG$28*'تعداد شعب'!W28</f>
        <v>0</v>
      </c>
      <c r="X28" s="12">
        <f>'تعداد شعب'!$B$28/'تعداد شعب'!$AG$28*'تعداد شعب'!X28</f>
        <v>0</v>
      </c>
      <c r="Y28" s="12">
        <f>'تعداد شعب'!$B$28/'تعداد شعب'!$AG$28*'تعداد شعب'!Y28</f>
        <v>0</v>
      </c>
      <c r="Z28" s="12">
        <f>'تعداد شعب'!$B$28/'تعداد شعب'!$AG$28*'تعداد شعب'!Z28</f>
        <v>0</v>
      </c>
      <c r="AA28" s="12">
        <f>'تعداد شعب'!$B$28/'تعداد شعب'!$AG$28*'تعداد شعب'!AA28</f>
        <v>0</v>
      </c>
      <c r="AB28" s="12">
        <f>'تعداد شعب'!$B$28/'تعداد شعب'!$AG$28*'تعداد شعب'!AB28</f>
        <v>0</v>
      </c>
      <c r="AC28" s="12">
        <f>'تعداد شعب'!$B$28/'تعداد شعب'!$AG$28*'تعداد شعب'!AC28</f>
        <v>0</v>
      </c>
      <c r="AD28" s="12">
        <f>'تعداد شعب'!$B$28/'تعداد شعب'!$AG$28*'تعداد شعب'!AD28</f>
        <v>0</v>
      </c>
      <c r="AE28" s="12">
        <f>'تعداد شعب'!B28/'تعداد شعب'!AG28*'تعداد شعب'!AE28</f>
        <v>0</v>
      </c>
      <c r="AF28" s="12">
        <f>'تعداد شعب'!B28/'تعداد شعب'!AG28*'تعداد شعب'!AF28</f>
        <v>0</v>
      </c>
    </row>
    <row r="29" spans="1:32" ht="27.75" customHeight="1">
      <c r="A29" s="10" t="s">
        <v>24</v>
      </c>
      <c r="B29" s="30">
        <f t="shared" si="0"/>
        <v>1059.9691835060892</v>
      </c>
      <c r="C29" s="12">
        <f>'تعداد شعب'!$B$29/'تعداد شعب'!$AG$29*'تعداد شعب'!C29</f>
        <v>0</v>
      </c>
      <c r="D29" s="12">
        <f>'تعداد شعب'!$B$29/'تعداد شعب'!$AG$29*'تعداد شعب'!D29</f>
        <v>45.136144348442322</v>
      </c>
      <c r="E29" s="12">
        <f>'تعداد شعب'!$B$29/'تعداد شعب'!$AG$29*'تعداد شعب'!E29</f>
        <v>0</v>
      </c>
      <c r="F29" s="12">
        <f>'تعداد شعب'!$B$29/'تعداد شعب'!$AG$29*'تعداد شعب'!F29</f>
        <v>0</v>
      </c>
      <c r="G29" s="12">
        <f>'تعداد شعب'!$B$29/'تعداد شعب'!$AG$29*'تعداد شعب'!G29</f>
        <v>0</v>
      </c>
      <c r="H29" s="12">
        <f>'تعداد شعب'!$B$29/'تعداد شعب'!$AG$29*'تعداد شعب'!H29</f>
        <v>0</v>
      </c>
      <c r="I29" s="12">
        <f>'تعداد شعب'!$B$29/'تعداد شعب'!$AG$29*'تعداد شعب'!I29</f>
        <v>256.7118209817657</v>
      </c>
      <c r="J29" s="12">
        <f>'تعداد شعب'!$B$4/'تعداد شعب'!$AG$4*'تعداد شعب'!J29</f>
        <v>108.56821863923535</v>
      </c>
      <c r="K29" s="12">
        <f>'تعداد شعب'!$B$29/'تعداد شعب'!$AG$29*'تعداد شعب'!K29</f>
        <v>366.85655100983951</v>
      </c>
      <c r="L29" s="12">
        <f>'تعداد شعب'!$B$29/'تعداد شعب'!$AG$29*'تعداد شعب'!L29</f>
        <v>46.828749761508902</v>
      </c>
      <c r="M29" s="12">
        <f>'تعداد شعب'!$B$29/'تعداد شعب'!$AG$29*'تعداد شعب'!M29</f>
        <v>228.18828531712504</v>
      </c>
      <c r="N29" s="12">
        <f>'تعداد شعب'!$B$29/'تعداد شعب'!$AG$29*'تعداد شعب'!N29</f>
        <v>0</v>
      </c>
      <c r="O29" s="12">
        <f>'تعداد شعب'!$B$29/'تعداد شعب'!$AG$29*'تعداد شعب'!O29</f>
        <v>0</v>
      </c>
      <c r="P29" s="12">
        <f>'تعداد شعب'!$B$29/'تعداد شعب'!$AG$29*'تعداد شعب'!P29</f>
        <v>0</v>
      </c>
      <c r="Q29" s="12">
        <f>'تعداد شعب'!$B$29/'تعداد شعب'!$AG$29*'تعداد شعب'!Q29</f>
        <v>0</v>
      </c>
      <c r="R29" s="12">
        <f>'تعداد شعب'!$B$29/'تعداد شعب'!$AG$29*'تعداد شعب'!R29</f>
        <v>0</v>
      </c>
      <c r="S29" s="12">
        <f>'تعداد شعب'!$B$29/'تعداد شعب'!$AG$29*'تعداد شعب'!S29</f>
        <v>7.6794134481724781</v>
      </c>
      <c r="T29" s="12">
        <f>'تعداد شعب'!$B$29/'تعداد شعب'!$AG$29*'تعداد شعب'!T29</f>
        <v>0</v>
      </c>
      <c r="U29" s="12">
        <f>'تعداد شعب'!$B$29/'تعداد شعب'!$AG$29*'تعداد شعب'!U29</f>
        <v>0</v>
      </c>
      <c r="V29" s="12">
        <f>'تعداد شعب'!$B$29/'تعداد شعب'!$AG$29*'تعداد شعب'!V29</f>
        <v>0</v>
      </c>
      <c r="W29" s="12">
        <f>'تعداد شعب'!$B$29/'تعداد شعب'!$AG$29*'تعداد شعب'!W29</f>
        <v>0</v>
      </c>
      <c r="X29" s="12">
        <f>'تعداد شعب'!$B$29/'تعداد شعب'!$AG$29*'تعداد شعب'!X29</f>
        <v>0</v>
      </c>
      <c r="Y29" s="12">
        <f>'تعداد شعب'!$B$29/'تعداد شعب'!$AG$29*'تعداد شعب'!Y29</f>
        <v>0</v>
      </c>
      <c r="Z29" s="12">
        <f>'تعداد شعب'!$B$29/'تعداد شعب'!$AG$29*'تعداد شعب'!Z29</f>
        <v>0</v>
      </c>
      <c r="AA29" s="12">
        <f>'تعداد شعب'!$B$29/'تعداد شعب'!$AG$29*'تعداد شعب'!AA29</f>
        <v>0</v>
      </c>
      <c r="AB29" s="12">
        <f>'تعداد شعب'!$B$29/'تعداد شعب'!$AG$29*'تعداد شعب'!AB29</f>
        <v>0</v>
      </c>
      <c r="AC29" s="12">
        <f>'تعداد شعب'!$B$29/'تعداد شعب'!$AG$29*'تعداد شعب'!AC29</f>
        <v>0</v>
      </c>
      <c r="AD29" s="12">
        <f>'تعداد شعب'!$B$29/'تعداد شعب'!$AG$29*'تعداد شعب'!AD29</f>
        <v>0</v>
      </c>
      <c r="AE29" s="12">
        <f>'تعداد شعب'!B29/'تعداد شعب'!AG29*'تعداد شعب'!AE29</f>
        <v>0</v>
      </c>
      <c r="AF29" s="12">
        <f>'تعداد شعب'!B29/'تعداد شعب'!AG29*'تعداد شعب'!AF29</f>
        <v>0</v>
      </c>
    </row>
    <row r="30" spans="1:32" ht="27.75" customHeight="1">
      <c r="A30" s="10" t="s">
        <v>25</v>
      </c>
      <c r="B30" s="30">
        <f t="shared" si="0"/>
        <v>1989.916692670904</v>
      </c>
      <c r="C30" s="12">
        <f>'تعداد شعب'!$B$30/'تعداد شعب'!$AG$30*'تعداد شعب'!C30</f>
        <v>0</v>
      </c>
      <c r="D30" s="12">
        <f>'تعداد شعب'!$B$30/'تعداد شعب'!$AG$30*'تعداد شعب'!D30</f>
        <v>9.606865452233853</v>
      </c>
      <c r="E30" s="12">
        <f>'تعداد شعب'!$B$30/'تعداد شعب'!$AG$30*'تعداد شعب'!E30</f>
        <v>175.62550904865014</v>
      </c>
      <c r="F30" s="12">
        <f>'تعداد شعب'!$B$30/'تعداد شعب'!$AG$30*'تعداد شعب'!F30</f>
        <v>0</v>
      </c>
      <c r="G30" s="12">
        <f>'تعداد شعب'!$B$30/'تعداد شعب'!$AG$30*'تعداد شعب'!G30</f>
        <v>0</v>
      </c>
      <c r="H30" s="12">
        <f>'تعداد شعب'!$B$30/'تعداد شعب'!$AG$30*'تعداد شعب'!H30</f>
        <v>0</v>
      </c>
      <c r="I30" s="12">
        <f>'تعداد شعب'!$B$30/'تعداد شعب'!$AG$30*'تعداد شعب'!I30</f>
        <v>187.33387631856016</v>
      </c>
      <c r="J30" s="12">
        <f>'تعداد شعب'!$B$4/'تعداد شعب'!$AG$4*'تعداد شعب'!J30</f>
        <v>149.2813006289486</v>
      </c>
      <c r="K30" s="12">
        <f>'تعداد شعب'!$B$30/'تعداد شعب'!$AG$30*'تعداد شعب'!K30</f>
        <v>532.38046047795945</v>
      </c>
      <c r="L30" s="12">
        <f>'تعداد شعب'!$B$30/'تعداد شعب'!$AG$30*'تعداد شعب'!L30</f>
        <v>363.79998609428071</v>
      </c>
      <c r="M30" s="12">
        <f>'تعداد شعب'!$B$30/'تعداد شعب'!$AG$30*'تعداد شعب'!M30</f>
        <v>473.53840958302703</v>
      </c>
      <c r="N30" s="12">
        <f>'تعداد شعب'!$B$30/'تعداد شعب'!$AG$30*'تعداد شعب'!N30</f>
        <v>0</v>
      </c>
      <c r="O30" s="12">
        <f>'تعداد شعب'!$B$30/'تعداد شعب'!$AG$30*'تعداد شعب'!O30</f>
        <v>46.233039988875419</v>
      </c>
      <c r="P30" s="12">
        <f>'تعداد شعب'!$B$30/'تعداد شعب'!$AG$30*'تعداد شعب'!P30</f>
        <v>0</v>
      </c>
      <c r="Q30" s="12">
        <f>'تعداد شعب'!$B$30/'تعداد شعب'!$AG$30*'تعداد شعب'!Q30</f>
        <v>0</v>
      </c>
      <c r="R30" s="12">
        <f>'تعداد شعب'!$B$30/'تعداد شعب'!$AG$30*'تعداد شعب'!R30</f>
        <v>13.089354178668628</v>
      </c>
      <c r="S30" s="12">
        <f>'تعداد شعب'!$B$30/'تعداد شعب'!$AG$30*'تعداد شعب'!S30</f>
        <v>14.710512723733087</v>
      </c>
      <c r="T30" s="12">
        <f>'تعداد شعب'!$B$30/'تعداد شعب'!$AG$30*'تعداد شعب'!T30</f>
        <v>0</v>
      </c>
      <c r="U30" s="12">
        <f>'تعداد شعب'!$B$30/'تعداد شعب'!$AG$30*'تعداد شعب'!U30</f>
        <v>0</v>
      </c>
      <c r="V30" s="12">
        <f>'تعداد شعب'!$B$30/'تعداد شعب'!$AG$30*'تعداد شعب'!V30</f>
        <v>0</v>
      </c>
      <c r="W30" s="12">
        <f>'تعداد شعب'!$B$30/'تعداد شعب'!$AG$30*'تعداد شعب'!W30</f>
        <v>0</v>
      </c>
      <c r="X30" s="12">
        <f>'تعداد شعب'!$B$30/'تعداد شعب'!$AG$30*'تعداد شعب'!X30</f>
        <v>0</v>
      </c>
      <c r="Y30" s="12">
        <f>'تعداد شعب'!$B$30/'تعداد شعب'!$AG$30*'تعداد شعب'!Y30</f>
        <v>24.317378175966944</v>
      </c>
      <c r="Z30" s="12">
        <f>'تعداد شعب'!$B$30/'تعداد شعب'!$AG$30*'تعداد شعب'!Z30</f>
        <v>0</v>
      </c>
      <c r="AA30" s="12">
        <f>'تعداد شعب'!$B$30/'تعداد شعب'!$AG$30*'تعداد شعب'!AA30</f>
        <v>0</v>
      </c>
      <c r="AB30" s="12">
        <f>'تعداد شعب'!$B$30/'تعداد شعب'!$AG$30*'تعداد شعب'!AB30</f>
        <v>0</v>
      </c>
      <c r="AC30" s="12">
        <f>'تعداد شعب'!$B$30/'تعداد شعب'!$AG$30*'تعداد شعب'!AC30</f>
        <v>0</v>
      </c>
      <c r="AD30" s="12">
        <f>'تعداد شعب'!$B$30/'تعداد شعب'!$AG$30*'تعداد شعب'!AD30</f>
        <v>0</v>
      </c>
      <c r="AE30" s="12">
        <f>'تعداد شعب'!B30/'تعداد شعب'!AG30*'تعداد شعب'!AE30</f>
        <v>0</v>
      </c>
      <c r="AF30" s="12">
        <f>'تعداد شعب'!B30/'تعداد شعب'!AG30*'تعداد شعب'!AF30</f>
        <v>0</v>
      </c>
    </row>
    <row r="31" spans="1:32" ht="27.75" customHeight="1">
      <c r="A31" s="10" t="s">
        <v>26</v>
      </c>
      <c r="B31" s="30">
        <f t="shared" si="0"/>
        <v>886.52118915988615</v>
      </c>
      <c r="C31" s="12">
        <f>'تعداد شعب'!$B$31/'تعداد شعب'!$AG$31*'تعداد شعب'!C31</f>
        <v>0</v>
      </c>
      <c r="D31" s="12">
        <f>'تعداد شعب'!$B$31/'تعداد شعب'!$AG$31*'تعداد شعب'!D31</f>
        <v>0</v>
      </c>
      <c r="E31" s="12">
        <f>'تعداد شعب'!$B$31/'تعداد شعب'!$AG$31*'تعداد شعب'!E31</f>
        <v>0</v>
      </c>
      <c r="F31" s="12">
        <f>'تعداد شعب'!$B$31/'تعداد شعب'!$AG$31*'تعداد شعب'!F31</f>
        <v>0</v>
      </c>
      <c r="G31" s="12">
        <f>'تعداد شعب'!$B$31/'تعداد شعب'!$AG$31*'تعداد شعب'!G31</f>
        <v>0</v>
      </c>
      <c r="H31" s="12">
        <f>'تعداد شعب'!$B$31/'تعداد شعب'!$AG$31*'تعداد شعب'!H31</f>
        <v>0</v>
      </c>
      <c r="I31" s="12">
        <f>'تعداد شعب'!$B$31/'تعداد شعب'!$AG$31*'تعداد شعب'!I31</f>
        <v>83.712574850299433</v>
      </c>
      <c r="J31" s="12">
        <f>'تعداد شعب'!$B$4/'تعداد شعب'!$AG$4*'تعداد شعب'!J31</f>
        <v>67.855136649522095</v>
      </c>
      <c r="K31" s="12">
        <f>'تعداد شعب'!$B$31/'تعداد شعب'!$AG$31*'تعداد شعب'!K31</f>
        <v>220.7722401351144</v>
      </c>
      <c r="L31" s="12">
        <f>'تعداد شعب'!$B$31/'تعداد شعب'!$AG$31*'تعداد شعب'!L31</f>
        <v>185.28383233532938</v>
      </c>
      <c r="M31" s="12">
        <f>'تعداد شعب'!$B$31/'تعداد شعب'!$AG$31*'تعداد شعب'!M31</f>
        <v>312.52694610778451</v>
      </c>
      <c r="N31" s="12">
        <f>'تعداد شعب'!$B$31/'تعداد شعب'!$AG$31*'تعداد شعب'!N31</f>
        <v>0</v>
      </c>
      <c r="O31" s="12">
        <f>'تعداد شعب'!$B$31/'تعداد شعب'!$AG$31*'تعداد شعب'!O31</f>
        <v>0</v>
      </c>
      <c r="P31" s="12">
        <f>'تعداد شعب'!$B$31/'تعداد شعب'!$AG$31*'تعداد شعب'!P31</f>
        <v>0</v>
      </c>
      <c r="Q31" s="12">
        <f>'تعداد شعب'!$B$31/'تعداد شعب'!$AG$31*'تعداد شعب'!Q31</f>
        <v>0</v>
      </c>
      <c r="R31" s="12">
        <f>'تعداد شعب'!$B$31/'تعداد شعب'!$AG$31*'تعداد شعب'!R31</f>
        <v>9.3586365730078356</v>
      </c>
      <c r="S31" s="12">
        <f>'تعداد شعب'!$B$31/'تعداد شعب'!$AG$31*'تعداد شعب'!S31</f>
        <v>7.0118225088284989</v>
      </c>
      <c r="T31" s="12">
        <f>'تعداد شعب'!$B$31/'تعداد شعب'!$AG$31*'تعداد شعب'!T31</f>
        <v>0</v>
      </c>
      <c r="U31" s="12">
        <f>'تعداد شعب'!$B$31/'تعداد شعب'!$AG$31*'تعداد شعب'!U31</f>
        <v>0</v>
      </c>
      <c r="V31" s="12">
        <f>'تعداد شعب'!$B$31/'تعداد شعب'!$AG$31*'تعداد شعب'!V31</f>
        <v>0</v>
      </c>
      <c r="W31" s="12">
        <f>'تعداد شعب'!$B$31/'تعداد شعب'!$AG$31*'تعداد شعب'!W31</f>
        <v>0</v>
      </c>
      <c r="X31" s="12">
        <f>'تعداد شعب'!$B$31/'تعداد شعب'!$AG$31*'تعداد شعب'!X31</f>
        <v>0</v>
      </c>
      <c r="Y31" s="12">
        <f>'تعداد شعب'!$B$31/'تعداد شعب'!$AG$31*'تعداد شعب'!Y31</f>
        <v>0</v>
      </c>
      <c r="Z31" s="12">
        <f>'تعداد شعب'!$B$31/'تعداد شعب'!$AG$31*'تعداد شعب'!Z31</f>
        <v>0</v>
      </c>
      <c r="AA31" s="12">
        <f>'تعداد شعب'!$B$31/'تعداد شعب'!$AG$31*'تعداد شعب'!AA31</f>
        <v>0</v>
      </c>
      <c r="AB31" s="12">
        <f>'تعداد شعب'!$B$31/'تعداد شعب'!$AG$31*'تعداد شعب'!AB31</f>
        <v>0</v>
      </c>
      <c r="AC31" s="12">
        <f>'تعداد شعب'!$B$31/'تعداد شعب'!$AG$31*'تعداد شعب'!AC31</f>
        <v>0</v>
      </c>
      <c r="AD31" s="12">
        <f>'تعداد شعب'!$B$31/'تعداد شعب'!$AG$31*'تعداد شعب'!AD31</f>
        <v>0</v>
      </c>
      <c r="AE31" s="12">
        <f>'تعداد شعب'!B31/'تعداد شعب'!AG31*'تعداد شعب'!AE31</f>
        <v>0</v>
      </c>
      <c r="AF31" s="12">
        <f>'تعداد شعب'!B31/'تعداد شعب'!AG31*'تعداد شعب'!AF31</f>
        <v>0</v>
      </c>
    </row>
    <row r="32" spans="1:32" ht="27.75" customHeight="1">
      <c r="A32" s="10" t="s">
        <v>27</v>
      </c>
      <c r="B32" s="30">
        <f t="shared" si="0"/>
        <v>881.10101460047395</v>
      </c>
      <c r="C32" s="12">
        <f>'تعداد شعب'!$B$32/'تعداد شعب'!$AG$32*'تعداد شعب'!C32</f>
        <v>0</v>
      </c>
      <c r="D32" s="12">
        <f>'تعداد شعب'!$B$32/'تعداد شعب'!$AG$32*'تعداد شعب'!D32</f>
        <v>0</v>
      </c>
      <c r="E32" s="12">
        <f>'تعداد شعب'!$B$32/'تعداد شعب'!$AG$32*'تعداد شعب'!E32</f>
        <v>0</v>
      </c>
      <c r="F32" s="12">
        <f>'تعداد شعب'!$B$32/'تعداد شعب'!$AG$32*'تعداد شعب'!F32</f>
        <v>0</v>
      </c>
      <c r="G32" s="12">
        <f>'تعداد شعب'!$B$32/'تعداد شعب'!$AG$32*'تعداد شعب'!G32</f>
        <v>0</v>
      </c>
      <c r="H32" s="12">
        <f>'تعداد شعب'!$B$32/'تعداد شعب'!$AG$32*'تعداد شعب'!H32</f>
        <v>0</v>
      </c>
      <c r="I32" s="12">
        <f>'تعداد شعب'!$B$32/'تعداد شعب'!$AG$32*'تعداد شعب'!I32</f>
        <v>0</v>
      </c>
      <c r="J32" s="12">
        <f>'تعداد شعب'!$B$4/'تعداد شعب'!$AG$4*'تعداد شعب'!J32</f>
        <v>122.13924596913976</v>
      </c>
      <c r="K32" s="12">
        <f>'تعداد شعب'!$B$32/'تعداد شعب'!$AG$32*'تعداد شعب'!K32</f>
        <v>263.34309209110086</v>
      </c>
      <c r="L32" s="12">
        <f>'تعداد شعب'!$B$32/'تعداد شعب'!$AG$32*'تعداد شعب'!L32</f>
        <v>0</v>
      </c>
      <c r="M32" s="12">
        <f>'تعداد شعب'!$B$32/'تعداد شعب'!$AG$32*'تعداد شعب'!M32</f>
        <v>257.40302234468504</v>
      </c>
      <c r="N32" s="12">
        <f>'تعداد شعب'!$B$32/'تعداد شعب'!$AG$32*'تعداد شعب'!N32</f>
        <v>0</v>
      </c>
      <c r="O32" s="12">
        <f>'تعداد شعب'!$B$32/'تعداد شعب'!$AG$32*'تعداد شعب'!O32</f>
        <v>0</v>
      </c>
      <c r="P32" s="12">
        <f>'تعداد شعب'!$B$32/'تعداد شعب'!$AG$32*'تعداد شعب'!P32</f>
        <v>0</v>
      </c>
      <c r="Q32" s="12">
        <f>'تعداد شعب'!$B$32/'تعداد شعب'!$AG$32*'تعداد شعب'!Q32</f>
        <v>0</v>
      </c>
      <c r="R32" s="12">
        <f>'تعداد شعب'!$B$32/'تعداد شعب'!$AG$32*'تعداد شعب'!R32</f>
        <v>10.277263529513068</v>
      </c>
      <c r="S32" s="12">
        <f>'تعداد شعب'!$B$32/'تعداد شعب'!$AG$32*'تعداد شعب'!S32</f>
        <v>11.55013561803074</v>
      </c>
      <c r="T32" s="12">
        <f>'تعداد شعب'!$B$32/'تعداد شعب'!$AG$32*'تعداد شعب'!T32</f>
        <v>0</v>
      </c>
      <c r="U32" s="12">
        <f>'تعداد شعب'!$B$32/'تعداد شعب'!$AG$32*'تعداد شعب'!U32</f>
        <v>0</v>
      </c>
      <c r="V32" s="12">
        <f>'تعداد شعب'!$B$32/'تعداد شعب'!$AG$32*'تعداد شعب'!V32</f>
        <v>0</v>
      </c>
      <c r="W32" s="12">
        <f>'تعداد شعب'!$B$32/'تعداد شعب'!$AG$32*'تعداد شعب'!W32</f>
        <v>0</v>
      </c>
      <c r="X32" s="12">
        <f>'تعداد شعب'!$B$32/'تعداد شعب'!$AG$32*'تعداد شعب'!X32</f>
        <v>216.38825504800445</v>
      </c>
      <c r="Y32" s="12">
        <f>'تعداد شعب'!$B$32/'تعداد شعب'!$AG$32*'تعداد شعب'!Y32</f>
        <v>0</v>
      </c>
      <c r="Z32" s="12">
        <f>'تعداد شعب'!$B$32/'تعداد شعب'!$AG$32*'تعداد شعب'!Z32</f>
        <v>0</v>
      </c>
      <c r="AA32" s="12">
        <f>'تعداد شعب'!$B$32/'تعداد شعب'!$AG$32*'تعداد شعب'!AA32</f>
        <v>0</v>
      </c>
      <c r="AB32" s="12">
        <f>'تعداد شعب'!$B$32/'تعداد شعب'!$AG$32*'تعداد شعب'!AB32</f>
        <v>0</v>
      </c>
      <c r="AC32" s="12">
        <f>'تعداد شعب'!$B$32/'تعداد شعب'!$AG$32*'تعداد شعب'!AC32</f>
        <v>0</v>
      </c>
      <c r="AD32" s="12">
        <f>'تعداد شعب'!$B$32/'تعداد شعب'!$AG$32*'تعداد شعب'!AD32</f>
        <v>0</v>
      </c>
      <c r="AE32" s="12">
        <f>'تعداد شعب'!B32/'تعداد شعب'!AG32*'تعداد شعب'!AE32</f>
        <v>0</v>
      </c>
      <c r="AF32" s="12">
        <f>'تعداد شعب'!B32/'تعداد شعب'!AG32*'تعداد شعب'!AF32</f>
        <v>0</v>
      </c>
    </row>
    <row r="33" spans="1:32" ht="27.75" customHeight="1">
      <c r="A33" s="10" t="s">
        <v>28</v>
      </c>
      <c r="B33" s="30">
        <f t="shared" si="0"/>
        <v>1109.6729664971076</v>
      </c>
      <c r="C33" s="12">
        <f>'تعداد شعب'!$B$33/'تعداد شعب'!$AG$33*'تعداد شعب'!C33</f>
        <v>0</v>
      </c>
      <c r="D33" s="12">
        <f>'تعداد شعب'!$B$33/'تعداد شعب'!$AG$33*'تعداد شعب'!D33</f>
        <v>178.80437871571314</v>
      </c>
      <c r="E33" s="12">
        <f>'تعداد شعب'!$B$33/'تعداد شعب'!$AG$33*'تعداد شعب'!E33</f>
        <v>0</v>
      </c>
      <c r="F33" s="12">
        <f>'تعداد شعب'!$B$33/'تعداد شعب'!$AG$33*'تعداد شعب'!F33</f>
        <v>0</v>
      </c>
      <c r="G33" s="12">
        <f>'تعداد شعب'!$B$33/'تعداد شعب'!$AG$33*'تعداد شعب'!G33</f>
        <v>0</v>
      </c>
      <c r="H33" s="12">
        <f>'تعداد شعب'!$B$33/'تعداد شعب'!$AG$33*'تعداد شعب'!H33</f>
        <v>0</v>
      </c>
      <c r="I33" s="12">
        <f>'تعداد شعب'!$B$33/'تعداد شعب'!$AG$33*'تعداد شعب'!I33</f>
        <v>97.687306044037257</v>
      </c>
      <c r="J33" s="12">
        <f>'تعداد شعب'!$B$4/'تعداد شعب'!$AG$4*'تعداد شعب'!J33</f>
        <v>40.71308198971326</v>
      </c>
      <c r="K33" s="12">
        <f>'تعداد شعب'!$B$33/'تعداد شعب'!$AG$33*'تعداد شعب'!K33</f>
        <v>246.01016243989497</v>
      </c>
      <c r="L33" s="12">
        <f>'تعداد شعب'!$B$33/'تعداد شعب'!$AG$33*'تعداد شعب'!L33</f>
        <v>134.33449659546895</v>
      </c>
      <c r="M33" s="12">
        <f>'تعداد شعب'!$B$33/'تعداد شعب'!$AG$33*'تعداد شعب'!M33</f>
        <v>374.05053938229639</v>
      </c>
      <c r="N33" s="12">
        <f>'تعداد شعب'!$B$33/'تعداد شعب'!$AG$33*'تعداد شعب'!N33</f>
        <v>0</v>
      </c>
      <c r="O33" s="12">
        <f>'تعداد شعب'!$B$33/'تعداد شعب'!$AG$33*'تعداد شعب'!O33</f>
        <v>29.672278364461015</v>
      </c>
      <c r="P33" s="12">
        <f>'تعداد شعب'!$B$33/'تعداد شعب'!$AG$33*'تعداد شعب'!P33</f>
        <v>0</v>
      </c>
      <c r="Q33" s="12">
        <f>'تعداد شعب'!$B$33/'تعداد شعب'!$AG$33*'تعداد شعب'!Q33</f>
        <v>0</v>
      </c>
      <c r="R33" s="12">
        <f>'تعداد شعب'!$B$33/'تعداد شعب'!$AG$33*'تعداد شعب'!R33</f>
        <v>8.4007229655227302</v>
      </c>
      <c r="S33" s="12">
        <f>'تعداد شعب'!$B$33/'تعداد شعب'!$AG$33*'تعداد شعب'!S33</f>
        <v>0</v>
      </c>
      <c r="T33" s="12">
        <f>'تعداد شعب'!$B$33/'تعداد شعب'!$AG$33*'تعداد شعب'!T33</f>
        <v>0</v>
      </c>
      <c r="U33" s="12">
        <f>'تعداد شعب'!$B$33/'تعداد شعب'!$AG$33*'تعداد شعب'!U33</f>
        <v>0</v>
      </c>
      <c r="V33" s="12">
        <f>'تعداد شعب'!$B$33/'تعداد شعب'!$AG$33*'تعداد شعب'!V33</f>
        <v>0</v>
      </c>
      <c r="W33" s="12">
        <f>'تعداد شعب'!$B$33/'تعداد شعب'!$AG$33*'تعداد شعب'!W33</f>
        <v>0</v>
      </c>
      <c r="X33" s="12">
        <f>'تعداد شعب'!$B$33/'تعداد شعب'!$AG$33*'تعداد شعب'!X33</f>
        <v>0</v>
      </c>
      <c r="Y33" s="12">
        <f>'تعداد شعب'!$B$33/'تعداد شعب'!$AG$33*'تعداد شعب'!Y33</f>
        <v>0</v>
      </c>
      <c r="Z33" s="12">
        <f>'تعداد شعب'!$B$33/'تعداد شعب'!$AG$33*'تعداد شعب'!Z33</f>
        <v>0</v>
      </c>
      <c r="AA33" s="12">
        <f>'تعداد شعب'!$B$33/'تعداد شعب'!$AG$33*'تعداد شعب'!AA33</f>
        <v>0</v>
      </c>
      <c r="AB33" s="12">
        <f>'تعداد شعب'!$B$33/'تعداد شعب'!$AG$33*'تعداد شعب'!AB33</f>
        <v>0</v>
      </c>
      <c r="AC33" s="12">
        <f>'تعداد شعب'!$B$33/'تعداد شعب'!$AG$33*'تعداد شعب'!AC33</f>
        <v>0</v>
      </c>
      <c r="AD33" s="12">
        <f>'تعداد شعب'!$B$33/'تعداد شعب'!$AG$33*'تعداد شعب'!AD33</f>
        <v>0</v>
      </c>
      <c r="AE33" s="12">
        <f>'تعداد شعب'!B33/'تعداد شعب'!AG33*'تعداد شعب'!AE33</f>
        <v>0</v>
      </c>
      <c r="AF33" s="12">
        <f>'تعداد شعب'!B33/'تعداد شعب'!AG33*'تعداد شعب'!AF33</f>
        <v>0</v>
      </c>
    </row>
    <row r="34" spans="1:32" ht="27.75" customHeight="1" thickBot="1">
      <c r="A34" s="15" t="s">
        <v>29</v>
      </c>
      <c r="B34" s="30">
        <f t="shared" si="0"/>
        <v>693.85706712094816</v>
      </c>
      <c r="C34" s="12">
        <f>'تعداد شعب'!$B$34/'تعداد شعب'!$AG$34*'تعداد شعب'!C34</f>
        <v>0</v>
      </c>
      <c r="D34" s="12">
        <f>'تعداد شعب'!$B$34/'تعداد شعب'!$AG$34*'تعداد شعب'!D34</f>
        <v>0</v>
      </c>
      <c r="E34" s="12">
        <f>'تعداد شعب'!$B$34/'تعداد شعب'!$AG$34*'تعداد شعب'!E34</f>
        <v>0</v>
      </c>
      <c r="F34" s="12">
        <f>'تعداد شعب'!$B$34/'تعداد شعب'!$AG$34*'تعداد شعب'!F34</f>
        <v>0</v>
      </c>
      <c r="G34" s="12">
        <f>'تعداد شعب'!$B$34/'تعداد شعب'!$AG$34*'تعداد شعب'!G34</f>
        <v>0</v>
      </c>
      <c r="H34" s="12">
        <f>'تعداد شعب'!$B$34/'تعداد شعب'!$AG$34*'تعداد شعب'!H34</f>
        <v>0</v>
      </c>
      <c r="I34" s="12">
        <f>'تعداد شعب'!$B$34/'تعداد شعب'!$AG$34*'تعداد شعب'!I34</f>
        <v>0</v>
      </c>
      <c r="J34" s="12">
        <f>'تعداد شعب'!$B$4/'تعداد شعب'!$AG$4*'تعداد شعب'!J34</f>
        <v>27.142054659808839</v>
      </c>
      <c r="K34" s="12">
        <f>'تعداد شعب'!$B$34/'تعداد شعب'!$AG$34*'تعداد شعب'!K34</f>
        <v>180.49536240076054</v>
      </c>
      <c r="L34" s="12">
        <f>'تعداد شعب'!$B$34/'تعداد شعب'!$AG$34*'تعداد شعب'!L34</f>
        <v>0</v>
      </c>
      <c r="M34" s="12">
        <f>'تعداد شعب'!$B$34/'تعداد شعب'!$AG$34*'تعداد شعب'!M34</f>
        <v>357.49081472726812</v>
      </c>
      <c r="N34" s="12">
        <f>'تعداد شعب'!$B$34/'تعداد شعب'!$AG$34*'تعداد شعب'!N34</f>
        <v>0</v>
      </c>
      <c r="O34" s="12">
        <f>'تعداد شعب'!$B$34/'تعداد شعب'!$AG$34*'تعداد شعب'!O34</f>
        <v>82.497880321677258</v>
      </c>
      <c r="P34" s="12">
        <f>'تعداد شعب'!$B$34/'تعداد شعب'!$AG$34*'تعداد شعب'!P34</f>
        <v>0</v>
      </c>
      <c r="Q34" s="12">
        <f>'تعداد شعب'!$B$34/'تعداد شعب'!$AG$34*'تعداد شعب'!Q34</f>
        <v>44.284576449731517</v>
      </c>
      <c r="R34" s="12">
        <f>'تعداد شعب'!$B$34/'تعداد شعب'!$AG$34*'تعداد شعب'!R34</f>
        <v>1.9463785617019096</v>
      </c>
      <c r="S34" s="12">
        <f>'تعداد شعب'!$B$34/'تعداد شعب'!$AG$34*'تعداد شعب'!S34</f>
        <v>0</v>
      </c>
      <c r="T34" s="12">
        <f>'تعداد شعب'!$B$34/'تعداد شعب'!$AG$34*'تعداد شعب'!T34</f>
        <v>0</v>
      </c>
      <c r="U34" s="12">
        <f>'تعداد شعب'!$B$34/'تعداد شعب'!$AG$34*'تعداد شعب'!U34</f>
        <v>0</v>
      </c>
      <c r="V34" s="12">
        <f>'تعداد شعب'!$B$34/'تعداد شعب'!$AG$34*'تعداد شعب'!V34</f>
        <v>0</v>
      </c>
      <c r="W34" s="12">
        <f>'تعداد شعب'!$B$34/'تعداد شعب'!$AG$34*'تعداد شعب'!W34</f>
        <v>0</v>
      </c>
      <c r="X34" s="12">
        <f>'تعداد شعب'!$B$34/'تعداد شعب'!$AG$34*'تعداد شعب'!X34</f>
        <v>0</v>
      </c>
      <c r="Y34" s="12">
        <f>'تعداد شعب'!$B$34/'تعداد شعب'!$AG$34*'تعداد شعب'!Y34</f>
        <v>0</v>
      </c>
      <c r="Z34" s="12">
        <f>'تعداد شعب'!$B$34/'تعداد شعب'!$AG$34*'تعداد شعب'!Z34</f>
        <v>0</v>
      </c>
      <c r="AA34" s="12">
        <f>'تعداد شعب'!$B$34/'تعداد شعب'!$AG$34*'تعداد شعب'!AA34</f>
        <v>0</v>
      </c>
      <c r="AB34" s="12">
        <f>'تعداد شعب'!$B$34/'تعداد شعب'!$AG$34*'تعداد شعب'!AB34</f>
        <v>0</v>
      </c>
      <c r="AC34" s="12">
        <f>'تعداد شعب'!$B$34/'تعداد شعب'!$AG$34*'تعداد شعب'!AC34</f>
        <v>0</v>
      </c>
      <c r="AD34" s="12">
        <f>'تعداد شعب'!$B$34/'تعداد شعب'!$AG$34*'تعداد شعب'!AD34</f>
        <v>0</v>
      </c>
      <c r="AE34" s="12">
        <f>'تعداد شعب'!B34/'تعداد شعب'!AG34*'تعداد شعب'!AE34</f>
        <v>0</v>
      </c>
      <c r="AF34" s="12">
        <f>'تعداد شعب'!B34/'تعداد شعب'!AG34*'تعداد شعب'!AF34</f>
        <v>0</v>
      </c>
    </row>
    <row r="35" spans="1:32" ht="27.75" customHeight="1" thickBot="1">
      <c r="A35" s="17" t="s">
        <v>66</v>
      </c>
      <c r="B35" s="18">
        <f>SUM(B4:B34)</f>
        <v>48980.148477948249</v>
      </c>
      <c r="C35" s="20">
        <f>SUM(C4:C34)</f>
        <v>176.52259764643313</v>
      </c>
      <c r="D35" s="20">
        <f>SUM(D4:D34)</f>
        <v>1978.4388011397209</v>
      </c>
      <c r="E35" s="20">
        <f>SUM(E4:E34)</f>
        <v>779.09218757033159</v>
      </c>
      <c r="F35" s="20">
        <f t="shared" ref="F35:AC35" si="1">SUM(F4:F34)</f>
        <v>47.882184545289597</v>
      </c>
      <c r="G35" s="20">
        <f t="shared" si="1"/>
        <v>798.21664089209332</v>
      </c>
      <c r="H35" s="20">
        <f t="shared" si="1"/>
        <v>49.151177502698644</v>
      </c>
      <c r="I35" s="20">
        <f t="shared" si="1"/>
        <v>2042.8362783935643</v>
      </c>
      <c r="J35" s="20">
        <f t="shared" si="1"/>
        <v>4839.9218377468205</v>
      </c>
      <c r="K35" s="20">
        <f t="shared" si="1"/>
        <v>12800.486192814968</v>
      </c>
      <c r="L35" s="20">
        <f t="shared" si="1"/>
        <v>5114.162284246524</v>
      </c>
      <c r="M35" s="20">
        <f t="shared" si="1"/>
        <v>14724.023211112846</v>
      </c>
      <c r="N35" s="20">
        <f t="shared" si="1"/>
        <v>465.12052427561542</v>
      </c>
      <c r="O35" s="20">
        <f t="shared" si="1"/>
        <v>747.86814285497633</v>
      </c>
      <c r="P35" s="20">
        <f t="shared" si="1"/>
        <v>50.098314814759718</v>
      </c>
      <c r="Q35" s="20">
        <f t="shared" si="1"/>
        <v>770.93738090615454</v>
      </c>
      <c r="R35" s="20">
        <f t="shared" si="1"/>
        <v>479.81024742993031</v>
      </c>
      <c r="S35" s="20">
        <f t="shared" si="1"/>
        <v>861.21836957597691</v>
      </c>
      <c r="T35" s="20">
        <f t="shared" si="1"/>
        <v>85.848891990926532</v>
      </c>
      <c r="U35" s="20">
        <f t="shared" si="1"/>
        <v>299.03966308006926</v>
      </c>
      <c r="V35" s="20">
        <f t="shared" si="1"/>
        <v>51.332278519627259</v>
      </c>
      <c r="W35" s="20">
        <f t="shared" si="1"/>
        <v>231.98254027570175</v>
      </c>
      <c r="X35" s="20">
        <f t="shared" si="1"/>
        <v>233.00027573106132</v>
      </c>
      <c r="Y35" s="20">
        <f t="shared" si="1"/>
        <v>24.317378175966944</v>
      </c>
      <c r="Z35" s="20">
        <f t="shared" si="1"/>
        <v>513.32278519627266</v>
      </c>
      <c r="AA35" s="20">
        <f t="shared" si="1"/>
        <v>147.20512716385289</v>
      </c>
      <c r="AB35" s="20">
        <f t="shared" si="1"/>
        <v>145.62217476117783</v>
      </c>
      <c r="AC35" s="20">
        <f t="shared" si="1"/>
        <v>143.43063672375408</v>
      </c>
      <c r="AD35" s="20">
        <f>SUM(AD4:AD34)</f>
        <v>90.581050427499562</v>
      </c>
      <c r="AE35" s="20">
        <f>SUM(AE4:AE34)</f>
        <v>146.8331409353566</v>
      </c>
      <c r="AF35" s="20">
        <f>SUM(AF4:AF34)</f>
        <v>141.84616149828747</v>
      </c>
    </row>
    <row r="36" spans="1:32">
      <c r="C36" s="5">
        <v>175</v>
      </c>
      <c r="D36" s="5">
        <v>2000</v>
      </c>
      <c r="E36" s="5">
        <v>800</v>
      </c>
      <c r="F36" s="5">
        <v>50</v>
      </c>
      <c r="G36" s="5">
        <v>800</v>
      </c>
      <c r="H36" s="5">
        <v>50</v>
      </c>
      <c r="I36" s="5">
        <v>2000</v>
      </c>
      <c r="J36" s="5">
        <v>5000</v>
      </c>
      <c r="K36" s="5">
        <v>13000</v>
      </c>
      <c r="L36" s="5">
        <v>5500</v>
      </c>
      <c r="M36" s="5">
        <v>15000</v>
      </c>
      <c r="N36" s="5">
        <v>450</v>
      </c>
      <c r="O36" s="5">
        <v>750</v>
      </c>
      <c r="P36" s="5">
        <v>50</v>
      </c>
      <c r="Q36" s="5">
        <v>750</v>
      </c>
      <c r="R36" s="5">
        <v>500</v>
      </c>
      <c r="S36" s="5">
        <v>800</v>
      </c>
      <c r="T36" s="5">
        <v>100</v>
      </c>
      <c r="U36" s="5">
        <v>300</v>
      </c>
      <c r="V36" s="5">
        <v>50</v>
      </c>
      <c r="W36" s="5">
        <v>250</v>
      </c>
      <c r="X36" s="5">
        <v>250</v>
      </c>
      <c r="Y36" s="5">
        <v>25</v>
      </c>
      <c r="Z36" s="5">
        <v>500</v>
      </c>
      <c r="AA36" s="5">
        <v>150</v>
      </c>
      <c r="AB36" s="5">
        <v>150</v>
      </c>
      <c r="AC36" s="5">
        <v>150</v>
      </c>
      <c r="AD36" s="5">
        <v>100</v>
      </c>
      <c r="AE36" s="5">
        <v>150</v>
      </c>
      <c r="AF36" s="5">
        <v>150</v>
      </c>
    </row>
  </sheetData>
  <pageMargins left="0.7" right="0.7" top="0.75" bottom="0.75" header="0.3" footer="0.3"/>
  <pageSetup paperSize="9" scale="45" orientation="landscape" r:id="rId1"/>
  <colBreaks count="1" manualBreakCount="1">
    <brk id="15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8"/>
  <sheetViews>
    <sheetView rightToLeft="1" zoomScale="67" zoomScaleNormal="67" zoomScaleSheetLayoutView="40" workbookViewId="0">
      <pane ySplit="2" topLeftCell="A6" activePane="bottomLeft" state="frozen"/>
      <selection activeCell="D21" sqref="D21"/>
      <selection pane="bottomLeft" activeCell="J6" sqref="J6"/>
    </sheetView>
  </sheetViews>
  <sheetFormatPr defaultColWidth="9" defaultRowHeight="21"/>
  <cols>
    <col min="1" max="1" width="33.5703125" style="5" bestFit="1" customWidth="1"/>
    <col min="2" max="2" width="11.42578125" style="5" customWidth="1"/>
    <col min="3" max="33" width="10.42578125" style="5" customWidth="1"/>
    <col min="34" max="16384" width="9" style="5"/>
  </cols>
  <sheetData>
    <row r="1" spans="1:33" ht="217.5" customHeight="1">
      <c r="A1" s="2" t="s">
        <v>64</v>
      </c>
      <c r="B1" s="3" t="s">
        <v>65</v>
      </c>
      <c r="C1" s="4" t="s">
        <v>30</v>
      </c>
      <c r="D1" s="4" t="s">
        <v>34</v>
      </c>
      <c r="E1" s="4" t="s">
        <v>35</v>
      </c>
      <c r="F1" s="4" t="s">
        <v>31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32</v>
      </c>
      <c r="Q1" s="4" t="s">
        <v>45</v>
      </c>
      <c r="R1" s="4" t="s">
        <v>46</v>
      </c>
      <c r="S1" s="4" t="s">
        <v>47</v>
      </c>
      <c r="T1" s="4" t="s">
        <v>48</v>
      </c>
      <c r="U1" s="4" t="s">
        <v>49</v>
      </c>
      <c r="V1" s="4" t="s">
        <v>60</v>
      </c>
      <c r="W1" s="4" t="s">
        <v>51</v>
      </c>
      <c r="X1" s="4" t="s">
        <v>59</v>
      </c>
      <c r="Y1" s="4" t="s">
        <v>52</v>
      </c>
      <c r="Z1" s="4" t="s">
        <v>53</v>
      </c>
      <c r="AA1" s="4" t="s">
        <v>54</v>
      </c>
      <c r="AB1" s="4" t="s">
        <v>55</v>
      </c>
      <c r="AC1" s="4" t="s">
        <v>56</v>
      </c>
      <c r="AD1" s="4" t="s">
        <v>57</v>
      </c>
      <c r="AE1" s="23" t="s">
        <v>71</v>
      </c>
      <c r="AF1" s="23" t="s">
        <v>73</v>
      </c>
      <c r="AG1" s="1" t="s">
        <v>68</v>
      </c>
    </row>
    <row r="2" spans="1:33" ht="13.5" customHeight="1">
      <c r="A2" s="6" t="s">
        <v>62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4"/>
      <c r="AF2" s="24"/>
      <c r="AG2" s="9"/>
    </row>
    <row r="3" spans="1:33" ht="20.25" customHeight="1">
      <c r="A3" s="6" t="s">
        <v>63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24"/>
      <c r="AF3" s="24"/>
      <c r="AG3" s="9"/>
    </row>
    <row r="4" spans="1:33" ht="27.75" customHeight="1">
      <c r="A4" s="10" t="s">
        <v>0</v>
      </c>
      <c r="B4" s="11">
        <v>2422</v>
      </c>
      <c r="C4" s="12"/>
      <c r="D4" s="12">
        <f>28*0.8*0.6</f>
        <v>13.440000000000001</v>
      </c>
      <c r="E4" s="12">
        <f>1*9*0.65</f>
        <v>5.8500000000000005</v>
      </c>
      <c r="F4" s="12"/>
      <c r="G4" s="12"/>
      <c r="H4" s="12">
        <f>2*1.69</f>
        <v>3.38</v>
      </c>
      <c r="I4" s="12"/>
      <c r="J4" s="12">
        <f>20*1.8*0.84</f>
        <v>30.24</v>
      </c>
      <c r="K4" s="12">
        <f>120*0.7*0.76</f>
        <v>63.84</v>
      </c>
      <c r="L4" s="12">
        <f>74*0.83*0.6</f>
        <v>36.851999999999997</v>
      </c>
      <c r="M4" s="12">
        <f>32*1.3*2.8</f>
        <v>116.47999999999999</v>
      </c>
      <c r="N4" s="12"/>
      <c r="O4" s="12">
        <f>3*0.77</f>
        <v>2.31</v>
      </c>
      <c r="P4" s="12"/>
      <c r="Q4" s="12"/>
      <c r="R4" s="12">
        <f>29*0.2*1.09</f>
        <v>6.322000000000001</v>
      </c>
      <c r="S4" s="12">
        <f>2*0.49</f>
        <v>0.98</v>
      </c>
      <c r="T4" s="12"/>
      <c r="U4" s="12"/>
      <c r="V4" s="12"/>
      <c r="W4" s="12"/>
      <c r="X4" s="12"/>
      <c r="Y4" s="12"/>
      <c r="Z4" s="12"/>
      <c r="AA4" s="12"/>
      <c r="AB4" s="12">
        <f>4*0.75</f>
        <v>3</v>
      </c>
      <c r="AC4" s="12"/>
      <c r="AD4" s="12"/>
      <c r="AE4" s="25"/>
      <c r="AF4" s="25"/>
      <c r="AG4" s="13">
        <f>SUM(C4:AD4)</f>
        <v>282.69400000000002</v>
      </c>
    </row>
    <row r="5" spans="1:33" ht="27.75" customHeight="1">
      <c r="A5" s="10" t="s">
        <v>1</v>
      </c>
      <c r="B5" s="11">
        <v>2060</v>
      </c>
      <c r="C5" s="12"/>
      <c r="D5" s="12">
        <f>22*0.8*0.6</f>
        <v>10.56</v>
      </c>
      <c r="E5" s="12"/>
      <c r="F5" s="12"/>
      <c r="G5" s="12"/>
      <c r="H5" s="12">
        <f>1*1.69</f>
        <v>1.69</v>
      </c>
      <c r="I5" s="12"/>
      <c r="J5" s="12">
        <f>10*1.8*0.84</f>
        <v>15.12</v>
      </c>
      <c r="K5" s="12">
        <f>103*0.7*0.76</f>
        <v>54.795999999999999</v>
      </c>
      <c r="L5" s="12">
        <f>58*0.83*0.6</f>
        <v>28.884</v>
      </c>
      <c r="M5" s="12">
        <f>15*1.3*2.8</f>
        <v>54.599999999999994</v>
      </c>
      <c r="N5" s="12"/>
      <c r="O5" s="12"/>
      <c r="P5" s="12"/>
      <c r="Q5" s="12">
        <f>1*8*0.62</f>
        <v>4.96</v>
      </c>
      <c r="R5" s="12">
        <f>6*0.2*1.09</f>
        <v>1.3080000000000003</v>
      </c>
      <c r="S5" s="12">
        <f>1*0.49</f>
        <v>0.49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25"/>
      <c r="AF5" s="25"/>
      <c r="AG5" s="13">
        <f>SUM(C5:AD5)</f>
        <v>172.40799999999999</v>
      </c>
    </row>
    <row r="6" spans="1:33" ht="27.75" customHeight="1">
      <c r="A6" s="10" t="s">
        <v>2</v>
      </c>
      <c r="B6" s="11">
        <v>812</v>
      </c>
      <c r="C6" s="14"/>
      <c r="D6" s="14"/>
      <c r="E6" s="14"/>
      <c r="F6" s="14">
        <f>5*1*1.17</f>
        <v>5.85</v>
      </c>
      <c r="G6" s="14"/>
      <c r="H6" s="14"/>
      <c r="I6" s="14">
        <f>8*0.9*0.65</f>
        <v>4.6800000000000006</v>
      </c>
      <c r="J6" s="12">
        <f>10*1.8*0.88</f>
        <v>15.84</v>
      </c>
      <c r="K6" s="12">
        <f>50*0.7*0.76</f>
        <v>26.6</v>
      </c>
      <c r="L6" s="14">
        <f>18*0.83*0.6</f>
        <v>8.9639999999999986</v>
      </c>
      <c r="M6" s="12">
        <f>10*1.3*2.8</f>
        <v>36.4</v>
      </c>
      <c r="N6" s="14"/>
      <c r="O6" s="14"/>
      <c r="P6" s="12"/>
      <c r="Q6" s="12"/>
      <c r="R6" s="12">
        <f>4*0.2*1.09</f>
        <v>0.87200000000000011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25"/>
      <c r="AF6" s="25"/>
      <c r="AG6" s="13">
        <f>SUM(C6:AF6)</f>
        <v>99.206000000000003</v>
      </c>
    </row>
    <row r="7" spans="1:33" ht="27.75" customHeight="1">
      <c r="A7" s="10" t="s">
        <v>3</v>
      </c>
      <c r="B7" s="11">
        <v>3195</v>
      </c>
      <c r="C7" s="12"/>
      <c r="D7" s="12">
        <f>27*0.8*0.6</f>
        <v>12.96</v>
      </c>
      <c r="E7" s="12">
        <f>1*9*0.65</f>
        <v>5.8500000000000005</v>
      </c>
      <c r="F7" s="12"/>
      <c r="G7" s="12"/>
      <c r="H7" s="12"/>
      <c r="I7" s="12">
        <f>3*0.9*0.65</f>
        <v>1.7550000000000001</v>
      </c>
      <c r="J7" s="12">
        <f>14*1.8*0.88</f>
        <v>22.175999999999998</v>
      </c>
      <c r="K7" s="12">
        <f>150*0.7*0.76</f>
        <v>79.8</v>
      </c>
      <c r="L7" s="12">
        <f>77*0.83*0.6</f>
        <v>38.345999999999997</v>
      </c>
      <c r="M7" s="12">
        <f>20*1.3*2.8</f>
        <v>72.8</v>
      </c>
      <c r="N7" s="12"/>
      <c r="O7" s="12">
        <f>9*0.77</f>
        <v>6.93</v>
      </c>
      <c r="P7" s="12"/>
      <c r="Q7" s="12">
        <f>1*8*0.62</f>
        <v>4.96</v>
      </c>
      <c r="R7" s="12">
        <f>3*0.2*1.09</f>
        <v>0.65400000000000014</v>
      </c>
      <c r="S7" s="12"/>
      <c r="T7" s="12"/>
      <c r="U7" s="12"/>
      <c r="V7" s="12"/>
      <c r="W7" s="12"/>
      <c r="X7" s="12"/>
      <c r="Y7" s="12"/>
      <c r="Z7" s="12"/>
      <c r="AA7" s="12">
        <f>16*0.78</f>
        <v>12.48</v>
      </c>
      <c r="AB7" s="12"/>
      <c r="AC7" s="12">
        <f>16*0.76</f>
        <v>12.16</v>
      </c>
      <c r="AD7" s="12"/>
      <c r="AE7" s="25"/>
      <c r="AF7" s="25"/>
      <c r="AG7" s="13">
        <f>SUM(C7:AF7)</f>
        <v>270.87100000000004</v>
      </c>
    </row>
    <row r="8" spans="1:33" ht="27.75" customHeight="1">
      <c r="A8" s="10" t="s">
        <v>4</v>
      </c>
      <c r="B8" s="11">
        <v>1658</v>
      </c>
      <c r="C8" s="14">
        <f>2*4*0.63</f>
        <v>5.04</v>
      </c>
      <c r="D8" s="14">
        <f>99*0.8*0.6</f>
        <v>47.52</v>
      </c>
      <c r="E8" s="14"/>
      <c r="F8" s="14"/>
      <c r="G8" s="14"/>
      <c r="H8" s="14"/>
      <c r="I8" s="14">
        <f>15*0.9*0.65</f>
        <v>8.7750000000000004</v>
      </c>
      <c r="J8" s="12">
        <f>10*1.8*0.88</f>
        <v>15.84</v>
      </c>
      <c r="K8" s="12">
        <f>88*0.7*0.76</f>
        <v>46.815999999999995</v>
      </c>
      <c r="L8" s="14">
        <f>61*0.83*0.6</f>
        <v>30.377999999999997</v>
      </c>
      <c r="M8" s="12">
        <f>21*1.3*2.8</f>
        <v>76.44</v>
      </c>
      <c r="N8" s="14">
        <f>6*0.79</f>
        <v>4.74</v>
      </c>
      <c r="O8" s="14">
        <f>3*0.77</f>
        <v>2.31</v>
      </c>
      <c r="P8" s="12"/>
      <c r="Q8" s="12">
        <f>1*8*0.62</f>
        <v>4.96</v>
      </c>
      <c r="R8" s="12">
        <f>9*0.2*1.09</f>
        <v>1.9620000000000002</v>
      </c>
      <c r="S8" s="12">
        <f>7*0.49</f>
        <v>3.4299999999999997</v>
      </c>
      <c r="T8" s="12"/>
      <c r="U8" s="12">
        <f>10*0.69</f>
        <v>6.8999999999999995</v>
      </c>
      <c r="V8" s="12"/>
      <c r="W8" s="12"/>
      <c r="X8" s="12"/>
      <c r="Y8" s="12"/>
      <c r="Z8" s="12"/>
      <c r="AA8" s="12"/>
      <c r="AB8" s="12">
        <f>1*0.75</f>
        <v>0.75</v>
      </c>
      <c r="AC8" s="12"/>
      <c r="AD8" s="12"/>
      <c r="AE8" s="25">
        <f>2*1.09</f>
        <v>2.1800000000000002</v>
      </c>
      <c r="AF8" s="25">
        <f>15*1.46</f>
        <v>21.9</v>
      </c>
      <c r="AG8" s="13">
        <f>SUM(C8:AF8)</f>
        <v>279.94099999999997</v>
      </c>
    </row>
    <row r="9" spans="1:33" ht="27.75" customHeight="1">
      <c r="A9" s="10" t="s">
        <v>5</v>
      </c>
      <c r="B9" s="11">
        <v>367</v>
      </c>
      <c r="C9" s="12"/>
      <c r="D9" s="12"/>
      <c r="E9" s="12"/>
      <c r="F9" s="12"/>
      <c r="G9" s="12"/>
      <c r="H9" s="12"/>
      <c r="I9" s="12">
        <f>8*0.9*0.65</f>
        <v>4.6800000000000006</v>
      </c>
      <c r="J9" s="12">
        <f>5*1.8*0.88</f>
        <v>7.92</v>
      </c>
      <c r="K9" s="12">
        <f>20*0.7*0.76</f>
        <v>10.64</v>
      </c>
      <c r="L9" s="12"/>
      <c r="M9" s="12">
        <f>2*1.3*2.8</f>
        <v>7.2799999999999994</v>
      </c>
      <c r="N9" s="12"/>
      <c r="O9" s="12"/>
      <c r="P9" s="12"/>
      <c r="Q9" s="12"/>
      <c r="R9" s="12">
        <f>3*0.2*1.09</f>
        <v>0.65400000000000014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25"/>
      <c r="AF9" s="25"/>
      <c r="AG9" s="13">
        <f>SUM(C9:AF9)</f>
        <v>31.174000000000003</v>
      </c>
    </row>
    <row r="10" spans="1:33" ht="27.75" customHeight="1">
      <c r="A10" s="10" t="s">
        <v>6</v>
      </c>
      <c r="B10" s="11">
        <v>720</v>
      </c>
      <c r="C10" s="12"/>
      <c r="D10" s="12"/>
      <c r="E10" s="12"/>
      <c r="F10" s="12"/>
      <c r="G10" s="12"/>
      <c r="H10" s="12"/>
      <c r="I10" s="12"/>
      <c r="J10" s="12">
        <f>4*1.8*0.88</f>
        <v>6.3360000000000003</v>
      </c>
      <c r="K10" s="12">
        <f>29*0.7*0.76</f>
        <v>15.427999999999997</v>
      </c>
      <c r="L10" s="12">
        <f>7*0.83*0.6</f>
        <v>3.4859999999999998</v>
      </c>
      <c r="M10" s="12">
        <f>10*1.3*2.8</f>
        <v>36.4</v>
      </c>
      <c r="N10" s="12"/>
      <c r="O10" s="12"/>
      <c r="P10" s="12"/>
      <c r="Q10" s="12"/>
      <c r="R10" s="12">
        <f>3*0.2*1.09</f>
        <v>0.65400000000000014</v>
      </c>
      <c r="S10" s="12"/>
      <c r="T10" s="12">
        <f>8*1.23</f>
        <v>9.84</v>
      </c>
      <c r="U10" s="12"/>
      <c r="V10" s="12"/>
      <c r="W10" s="12"/>
      <c r="X10" s="12"/>
      <c r="Y10" s="12"/>
      <c r="Z10" s="12"/>
      <c r="AA10" s="12"/>
      <c r="AB10" s="12"/>
      <c r="AC10" s="12"/>
      <c r="AD10" s="12">
        <f>8*1.26*1.03</f>
        <v>10.382400000000001</v>
      </c>
      <c r="AE10" s="25"/>
      <c r="AF10" s="25"/>
      <c r="AG10" s="13">
        <f>SUM(C10:AF10)</f>
        <v>82.526399999999995</v>
      </c>
    </row>
    <row r="11" spans="1:33" ht="27.75" customHeight="1">
      <c r="A11" s="10" t="s">
        <v>7</v>
      </c>
      <c r="B11" s="11">
        <v>8038</v>
      </c>
      <c r="C11" s="12">
        <f>14*4*0.63</f>
        <v>35.28</v>
      </c>
      <c r="D11" s="12">
        <f>114*0.8*0.6</f>
        <v>54.72</v>
      </c>
      <c r="E11" s="12">
        <f>12*9*0.65</f>
        <v>70.2</v>
      </c>
      <c r="F11" s="12"/>
      <c r="G11" s="12">
        <f>40*8*0.6</f>
        <v>192</v>
      </c>
      <c r="H11" s="12"/>
      <c r="I11" s="12">
        <f>140*0.9*0.65</f>
        <v>81.900000000000006</v>
      </c>
      <c r="J11" s="12">
        <f>120*1.8*0.88</f>
        <v>190.08</v>
      </c>
      <c r="K11" s="12">
        <f>422*0.7*0.76</f>
        <v>224.50399999999999</v>
      </c>
      <c r="L11" s="12">
        <f>387*0.83*0.6</f>
        <v>192.72599999999997</v>
      </c>
      <c r="M11" s="12">
        <f>120*1.3*2.8</f>
        <v>436.79999999999995</v>
      </c>
      <c r="N11" s="12">
        <f>90*0.79</f>
        <v>71.100000000000009</v>
      </c>
      <c r="O11" s="12">
        <f>15*0.77</f>
        <v>11.55</v>
      </c>
      <c r="P11" s="12">
        <f>4*0.82</f>
        <v>3.28</v>
      </c>
      <c r="Q11" s="12">
        <f>14*8*0.62</f>
        <v>69.44</v>
      </c>
      <c r="R11" s="12">
        <f>80*0.2*1.09</f>
        <v>17.440000000000001</v>
      </c>
      <c r="S11" s="12">
        <f>373*0.49</f>
        <v>182.77</v>
      </c>
      <c r="T11" s="12"/>
      <c r="U11" s="12">
        <f>90*0.69</f>
        <v>62.099999999999994</v>
      </c>
      <c r="V11" s="12"/>
      <c r="W11" s="12"/>
      <c r="X11" s="12"/>
      <c r="Y11" s="12"/>
      <c r="Z11" s="12"/>
      <c r="AA11" s="12"/>
      <c r="AB11" s="12">
        <f>20*0.75</f>
        <v>15</v>
      </c>
      <c r="AC11" s="12"/>
      <c r="AD11" s="12"/>
      <c r="AE11" s="25">
        <f>18*1.09</f>
        <v>19.62</v>
      </c>
      <c r="AF11" s="25">
        <f>2*1.46</f>
        <v>2.92</v>
      </c>
      <c r="AG11" s="13">
        <f>SUM(C11:AF11)</f>
        <v>1933.4299999999998</v>
      </c>
    </row>
    <row r="12" spans="1:33" ht="27.75" customHeight="1">
      <c r="A12" s="10" t="s">
        <v>8</v>
      </c>
      <c r="B12" s="11">
        <v>590</v>
      </c>
      <c r="C12" s="14"/>
      <c r="D12" s="14"/>
      <c r="E12" s="14"/>
      <c r="F12" s="14"/>
      <c r="G12" s="14"/>
      <c r="H12" s="14"/>
      <c r="I12" s="14"/>
      <c r="J12" s="12">
        <f>2*1.8*0.88</f>
        <v>3.1680000000000001</v>
      </c>
      <c r="K12" s="12">
        <f>17*0.7*0.76</f>
        <v>9.0439999999999987</v>
      </c>
      <c r="L12" s="14">
        <f>4*0.83*0.6</f>
        <v>1.9919999999999998</v>
      </c>
      <c r="M12" s="12">
        <f>14*13*2.8</f>
        <v>509.59999999999997</v>
      </c>
      <c r="N12" s="14"/>
      <c r="O12" s="14"/>
      <c r="P12" s="12"/>
      <c r="Q12" s="12"/>
      <c r="R12" s="12">
        <f>3*0.2*1.09</f>
        <v>0.65400000000000014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5"/>
      <c r="AF12" s="25"/>
      <c r="AG12" s="13">
        <f>SUM(C12:AF12)</f>
        <v>524.45799999999997</v>
      </c>
    </row>
    <row r="13" spans="1:33" ht="27.75" customHeight="1">
      <c r="A13" s="10" t="s">
        <v>9</v>
      </c>
      <c r="B13" s="11">
        <v>490</v>
      </c>
      <c r="C13" s="12"/>
      <c r="D13" s="12">
        <f>5*0.8*0.6</f>
        <v>2.4</v>
      </c>
      <c r="E13" s="12"/>
      <c r="F13" s="12"/>
      <c r="G13" s="12"/>
      <c r="H13" s="12"/>
      <c r="I13" s="12"/>
      <c r="J13" s="12">
        <f>9*1.8*0.88</f>
        <v>14.256</v>
      </c>
      <c r="K13" s="12">
        <f>40*0.7*0.76</f>
        <v>21.28</v>
      </c>
      <c r="L13" s="12"/>
      <c r="M13" s="12">
        <f>7*1.3*2.8</f>
        <v>25.479999999999997</v>
      </c>
      <c r="N13" s="12"/>
      <c r="O13" s="12"/>
      <c r="P13" s="12"/>
      <c r="Q13" s="12"/>
      <c r="R13" s="12">
        <f>2*0.2*1.09</f>
        <v>0.43600000000000005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25"/>
      <c r="AF13" s="25"/>
      <c r="AG13" s="13">
        <f>SUM(C13:AF13)</f>
        <v>63.851999999999997</v>
      </c>
    </row>
    <row r="14" spans="1:33" ht="27.75" customHeight="1">
      <c r="A14" s="10" t="s">
        <v>10</v>
      </c>
      <c r="B14" s="11">
        <v>4045</v>
      </c>
      <c r="C14" s="12"/>
      <c r="D14" s="12">
        <f>25*0.8*0.6</f>
        <v>12</v>
      </c>
      <c r="E14" s="12">
        <f>2*9*0.65</f>
        <v>11.700000000000001</v>
      </c>
      <c r="F14" s="12"/>
      <c r="G14" s="12"/>
      <c r="H14" s="12"/>
      <c r="I14" s="12">
        <f>23*0.9*0.65</f>
        <v>13.455</v>
      </c>
      <c r="J14" s="12">
        <f>15*1.8*0.88</f>
        <v>23.76</v>
      </c>
      <c r="K14" s="12">
        <f>129*0.7*0.76</f>
        <v>68.628</v>
      </c>
      <c r="L14" s="12">
        <f>48*0.83*0.6</f>
        <v>23.903999999999996</v>
      </c>
      <c r="M14" s="12">
        <f>10*1.3*2.8</f>
        <v>36.4</v>
      </c>
      <c r="N14" s="12"/>
      <c r="O14" s="12">
        <f>15*0.77</f>
        <v>11.55</v>
      </c>
      <c r="P14" s="12"/>
      <c r="Q14" s="12">
        <f>1*8*0.62</f>
        <v>4.96</v>
      </c>
      <c r="R14" s="12">
        <f>10*0.2*1.09</f>
        <v>2.1800000000000002</v>
      </c>
      <c r="S14" s="12"/>
      <c r="T14" s="12"/>
      <c r="U14" s="12"/>
      <c r="V14" s="12">
        <f>4*0.78</f>
        <v>3.12</v>
      </c>
      <c r="W14" s="12"/>
      <c r="X14" s="12"/>
      <c r="Y14" s="12"/>
      <c r="Z14" s="12">
        <f>40*0.78</f>
        <v>31.200000000000003</v>
      </c>
      <c r="AA14" s="12"/>
      <c r="AB14" s="12">
        <f>4*0.75</f>
        <v>3</v>
      </c>
      <c r="AC14" s="12"/>
      <c r="AD14" s="12"/>
      <c r="AE14" s="25"/>
      <c r="AF14" s="25"/>
      <c r="AG14" s="13">
        <f>SUM(C14:AF14)</f>
        <v>245.85700000000003</v>
      </c>
    </row>
    <row r="15" spans="1:33" ht="27.75" customHeight="1">
      <c r="A15" s="10" t="s">
        <v>11</v>
      </c>
      <c r="B15" s="11">
        <v>577</v>
      </c>
      <c r="C15" s="14"/>
      <c r="D15" s="14">
        <f>4*0.8*0.6</f>
        <v>1.92</v>
      </c>
      <c r="E15" s="14"/>
      <c r="F15" s="14"/>
      <c r="G15" s="14"/>
      <c r="H15" s="14"/>
      <c r="I15" s="14"/>
      <c r="J15" s="12">
        <f>5*1.8*0.88</f>
        <v>7.92</v>
      </c>
      <c r="K15" s="12">
        <f>30*0.7*0.76</f>
        <v>15.96</v>
      </c>
      <c r="L15" s="14"/>
      <c r="M15" s="12">
        <f>5*1.3*2.8</f>
        <v>18.2</v>
      </c>
      <c r="N15" s="14"/>
      <c r="O15" s="14">
        <f>3*0.77</f>
        <v>2.31</v>
      </c>
      <c r="P15" s="12"/>
      <c r="Q15" s="12"/>
      <c r="R15" s="12">
        <f>1*0.2*1.09</f>
        <v>0.21800000000000003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25"/>
      <c r="AF15" s="25"/>
      <c r="AG15" s="13">
        <f>SUM(C15:AF15)</f>
        <v>46.528000000000006</v>
      </c>
    </row>
    <row r="16" spans="1:33" ht="27.75" customHeight="1">
      <c r="A16" s="10" t="s">
        <v>12</v>
      </c>
      <c r="B16" s="11">
        <v>3045</v>
      </c>
      <c r="C16" s="14"/>
      <c r="D16" s="14">
        <f>2*0.8*0.6</f>
        <v>0.96</v>
      </c>
      <c r="E16" s="14"/>
      <c r="F16" s="14"/>
      <c r="G16" s="14"/>
      <c r="H16" s="14"/>
      <c r="I16" s="14"/>
      <c r="J16" s="12">
        <f>11*1.8*0.88</f>
        <v>17.423999999999999</v>
      </c>
      <c r="K16" s="12">
        <f>100*0.7*0.76</f>
        <v>53.2</v>
      </c>
      <c r="L16" s="14"/>
      <c r="M16" s="12">
        <f>9*1.3*2.8</f>
        <v>32.76</v>
      </c>
      <c r="N16" s="14"/>
      <c r="O16" s="14"/>
      <c r="P16" s="12"/>
      <c r="Q16" s="12"/>
      <c r="R16" s="12">
        <f>9*0.2*1.09</f>
        <v>1.9620000000000002</v>
      </c>
      <c r="S16" s="12">
        <f>1*0.49</f>
        <v>0.49</v>
      </c>
      <c r="T16" s="12"/>
      <c r="U16" s="12"/>
      <c r="V16" s="12"/>
      <c r="W16" s="12">
        <f>8*1.01*1.09</f>
        <v>8.8071999999999999</v>
      </c>
      <c r="X16" s="12"/>
      <c r="Y16" s="12"/>
      <c r="Z16" s="12"/>
      <c r="AA16" s="12"/>
      <c r="AB16" s="12"/>
      <c r="AC16" s="12"/>
      <c r="AD16" s="12"/>
      <c r="AE16" s="25"/>
      <c r="AF16" s="25"/>
      <c r="AG16" s="13">
        <f>SUM(C16:AF16)</f>
        <v>115.60319999999999</v>
      </c>
    </row>
    <row r="17" spans="1:33" ht="27.75" customHeight="1">
      <c r="A17" s="10" t="s">
        <v>13</v>
      </c>
      <c r="B17" s="11">
        <v>670</v>
      </c>
      <c r="C17" s="14"/>
      <c r="D17" s="14">
        <f>1*0.8*0.6</f>
        <v>0.48</v>
      </c>
      <c r="E17" s="14"/>
      <c r="F17" s="14"/>
      <c r="G17" s="14"/>
      <c r="H17" s="14"/>
      <c r="I17" s="14">
        <f>7*0.9*0.65</f>
        <v>4.0949999999999998</v>
      </c>
      <c r="J17" s="12">
        <f>5*1.8*0.88</f>
        <v>7.92</v>
      </c>
      <c r="K17" s="12">
        <f>60*0.7*0.76</f>
        <v>31.92</v>
      </c>
      <c r="L17" s="14">
        <f>21*0.83*0.6</f>
        <v>10.458</v>
      </c>
      <c r="M17" s="12">
        <f>5*1.3*2.8</f>
        <v>18.2</v>
      </c>
      <c r="N17" s="14"/>
      <c r="O17" s="14"/>
      <c r="P17" s="12"/>
      <c r="Q17" s="12"/>
      <c r="R17" s="12">
        <f>4*0.2*1.09</f>
        <v>0.87200000000000011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5"/>
      <c r="AF17" s="25"/>
      <c r="AG17" s="13">
        <f>SUM(C17:AF17)</f>
        <v>73.944999999999993</v>
      </c>
    </row>
    <row r="18" spans="1:33" ht="27.75" customHeight="1">
      <c r="A18" s="10" t="s">
        <v>14</v>
      </c>
      <c r="B18" s="11">
        <v>430</v>
      </c>
      <c r="C18" s="14"/>
      <c r="D18" s="14"/>
      <c r="E18" s="14"/>
      <c r="F18" s="14"/>
      <c r="G18" s="14"/>
      <c r="H18" s="14"/>
      <c r="I18" s="14">
        <f>10*0.9*0.65</f>
        <v>5.8500000000000005</v>
      </c>
      <c r="J18" s="12">
        <f>7*1.8*0.88</f>
        <v>11.087999999999999</v>
      </c>
      <c r="K18" s="12">
        <f>50*0.7*0.76</f>
        <v>26.6</v>
      </c>
      <c r="L18" s="14">
        <f>19*0.83*0.6</f>
        <v>9.4619999999999997</v>
      </c>
      <c r="M18" s="12">
        <f>7*1.3*2.8</f>
        <v>25.479999999999997</v>
      </c>
      <c r="N18" s="14"/>
      <c r="O18" s="14">
        <f>4*0.77</f>
        <v>3.08</v>
      </c>
      <c r="P18" s="12"/>
      <c r="Q18" s="12"/>
      <c r="R18" s="12">
        <f>6*0.2*1.09</f>
        <v>1.3080000000000003</v>
      </c>
      <c r="S18" s="12"/>
      <c r="T18" s="12"/>
      <c r="U18" s="12"/>
      <c r="V18" s="12"/>
      <c r="W18" s="12"/>
      <c r="X18" s="12"/>
      <c r="Y18" s="12"/>
      <c r="Z18" s="12"/>
      <c r="AA18" s="12"/>
      <c r="AB18" s="12">
        <f>1*0.75</f>
        <v>0.75</v>
      </c>
      <c r="AC18" s="12"/>
      <c r="AD18" s="12"/>
      <c r="AE18" s="25">
        <f>2*1.09</f>
        <v>2.1800000000000002</v>
      </c>
      <c r="AF18" s="25"/>
      <c r="AG18" s="13">
        <f>SUM(C18:AF18)</f>
        <v>85.798000000000002</v>
      </c>
    </row>
    <row r="19" spans="1:33" ht="27.75" customHeight="1">
      <c r="A19" s="10" t="s">
        <v>15</v>
      </c>
      <c r="B19" s="11">
        <v>1795</v>
      </c>
      <c r="C19" s="14"/>
      <c r="D19" s="14"/>
      <c r="E19" s="14"/>
      <c r="F19" s="14"/>
      <c r="G19" s="14"/>
      <c r="H19" s="14"/>
      <c r="I19" s="14"/>
      <c r="J19" s="12">
        <f>11*1.8*0.88</f>
        <v>17.423999999999999</v>
      </c>
      <c r="K19" s="12">
        <f>25*0.7*0.76</f>
        <v>13.3</v>
      </c>
      <c r="L19" s="14"/>
      <c r="M19" s="12">
        <f>6*1.3*2.8</f>
        <v>21.84</v>
      </c>
      <c r="N19" s="14"/>
      <c r="O19" s="14"/>
      <c r="P19" s="12"/>
      <c r="Q19" s="12"/>
      <c r="R19" s="12">
        <f>5*0.2*1.09</f>
        <v>1.0900000000000001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25"/>
      <c r="AF19" s="25"/>
      <c r="AG19" s="13">
        <f>SUM(C19:AF19)</f>
        <v>53.654000000000003</v>
      </c>
    </row>
    <row r="20" spans="1:33" ht="27.75" customHeight="1">
      <c r="A20" s="10" t="s">
        <v>16</v>
      </c>
      <c r="B20" s="11">
        <v>3030</v>
      </c>
      <c r="C20" s="12"/>
      <c r="D20" s="12">
        <f>9*0.8*0.6</f>
        <v>4.32</v>
      </c>
      <c r="E20" s="12"/>
      <c r="F20" s="12"/>
      <c r="G20" s="12"/>
      <c r="H20" s="12"/>
      <c r="I20" s="12"/>
      <c r="J20" s="12">
        <f>9*1.8*0.88</f>
        <v>14.256</v>
      </c>
      <c r="K20" s="12">
        <f>103*0.7*0.76</f>
        <v>54.795999999999999</v>
      </c>
      <c r="L20" s="12">
        <f>59*0.83*0.6</f>
        <v>29.381999999999998</v>
      </c>
      <c r="M20" s="12">
        <f>21*1.3*2.8</f>
        <v>76.44</v>
      </c>
      <c r="N20" s="12"/>
      <c r="O20" s="12"/>
      <c r="P20" s="12"/>
      <c r="Q20" s="12">
        <f>1*8*0.62</f>
        <v>4.96</v>
      </c>
      <c r="R20" s="12">
        <f>4*0.2*1.09</f>
        <v>0.87200000000000011</v>
      </c>
      <c r="S20" s="12"/>
      <c r="T20" s="12"/>
      <c r="U20" s="12"/>
      <c r="V20" s="12"/>
      <c r="W20" s="12"/>
      <c r="X20" s="12">
        <f>1*1.02</f>
        <v>1.02</v>
      </c>
      <c r="Y20" s="12"/>
      <c r="Z20" s="12"/>
      <c r="AA20" s="12"/>
      <c r="AB20" s="12"/>
      <c r="AC20" s="12"/>
      <c r="AD20" s="12"/>
      <c r="AE20" s="25"/>
      <c r="AF20" s="25"/>
      <c r="AG20" s="13">
        <f>SUM(C20:AF20)</f>
        <v>186.04600000000002</v>
      </c>
    </row>
    <row r="21" spans="1:33" ht="27.75" customHeight="1">
      <c r="A21" s="10" t="s">
        <v>17</v>
      </c>
      <c r="B21" s="11">
        <v>793</v>
      </c>
      <c r="C21" s="12"/>
      <c r="D21" s="12">
        <f>33*0.8*0.6</f>
        <v>15.84</v>
      </c>
      <c r="E21" s="12"/>
      <c r="F21" s="12"/>
      <c r="G21" s="12"/>
      <c r="H21" s="12"/>
      <c r="I21" s="12">
        <f>13*0.9*0.65</f>
        <v>7.6050000000000013</v>
      </c>
      <c r="J21" s="12">
        <f>2*1.8*0.88</f>
        <v>3.1680000000000001</v>
      </c>
      <c r="K21" s="12">
        <f>44*0.7*0.76</f>
        <v>23.407999999999998</v>
      </c>
      <c r="L21" s="12">
        <f>17*0.83*0.6</f>
        <v>8.4659999999999993</v>
      </c>
      <c r="M21" s="12">
        <f>4*1.3*2.8</f>
        <v>14.559999999999999</v>
      </c>
      <c r="N21" s="12"/>
      <c r="O21" s="12"/>
      <c r="P21" s="12"/>
      <c r="Q21" s="12">
        <f>1*8*0.62</f>
        <v>4.96</v>
      </c>
      <c r="R21" s="12">
        <f>5*0.2*1.09</f>
        <v>1.0900000000000001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25">
        <f>4*1.09</f>
        <v>4.3600000000000003</v>
      </c>
      <c r="AF21" s="25"/>
      <c r="AG21" s="13">
        <f>SUM(C21:AF21)</f>
        <v>83.456999999999994</v>
      </c>
    </row>
    <row r="22" spans="1:33" ht="27.75" customHeight="1">
      <c r="A22" s="10" t="s">
        <v>18</v>
      </c>
      <c r="B22" s="11">
        <v>787</v>
      </c>
      <c r="C22" s="12"/>
      <c r="D22" s="12"/>
      <c r="E22" s="12"/>
      <c r="F22" s="12"/>
      <c r="G22" s="12"/>
      <c r="H22" s="12"/>
      <c r="I22" s="12">
        <f>3*0.9*0.65</f>
        <v>1.7550000000000001</v>
      </c>
      <c r="J22" s="12">
        <f>3*1.8*0.88</f>
        <v>4.7520000000000007</v>
      </c>
      <c r="K22" s="12">
        <f>30*0.7*0.76</f>
        <v>15.96</v>
      </c>
      <c r="L22" s="12">
        <f>17*0.83*0.6</f>
        <v>8.4659999999999993</v>
      </c>
      <c r="M22" s="12">
        <f>2*1.3*2.8</f>
        <v>7.2799999999999994</v>
      </c>
      <c r="N22" s="12"/>
      <c r="O22" s="12">
        <f>6*0.77</f>
        <v>4.62</v>
      </c>
      <c r="P22" s="12"/>
      <c r="Q22" s="12">
        <f>1*8*0.62</f>
        <v>4.96</v>
      </c>
      <c r="R22" s="12">
        <f>1*0.2*1.09</f>
        <v>0.21800000000000003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25"/>
      <c r="AF22" s="25"/>
      <c r="AG22" s="13">
        <f>SUM(C22:AF22)</f>
        <v>48.011000000000003</v>
      </c>
    </row>
    <row r="23" spans="1:33" ht="27.75" customHeight="1">
      <c r="A23" s="10" t="s">
        <v>19</v>
      </c>
      <c r="B23" s="11">
        <v>970</v>
      </c>
      <c r="C23" s="12"/>
      <c r="D23" s="12">
        <f>37*0.8*0.6</f>
        <v>17.760000000000002</v>
      </c>
      <c r="E23" s="12"/>
      <c r="F23" s="12"/>
      <c r="G23" s="12"/>
      <c r="H23" s="12"/>
      <c r="I23" s="12">
        <f>6*0.9*0.65</f>
        <v>3.5100000000000002</v>
      </c>
      <c r="J23" s="12">
        <f>11*1.8*0.88</f>
        <v>17.423999999999999</v>
      </c>
      <c r="K23" s="12">
        <f>29*0.7*0.76</f>
        <v>15.427999999999997</v>
      </c>
      <c r="L23" s="12">
        <f>14*0.83*0.6</f>
        <v>6.9719999999999995</v>
      </c>
      <c r="M23" s="12">
        <f>6*1.3*2.8</f>
        <v>21.84</v>
      </c>
      <c r="N23" s="12"/>
      <c r="O23" s="12"/>
      <c r="P23" s="12"/>
      <c r="Q23" s="12"/>
      <c r="R23" s="12">
        <f>4*0.2*1.09</f>
        <v>0.87200000000000011</v>
      </c>
      <c r="S23" s="12">
        <f>1*0.49</f>
        <v>0.49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25"/>
      <c r="AF23" s="25"/>
      <c r="AG23" s="13">
        <f>SUM(C23:AF23)</f>
        <v>84.295999999999992</v>
      </c>
    </row>
    <row r="24" spans="1:33" ht="27.75" customHeight="1">
      <c r="A24" s="10" t="s">
        <v>20</v>
      </c>
      <c r="B24" s="11">
        <v>1985</v>
      </c>
      <c r="C24" s="14"/>
      <c r="D24" s="14"/>
      <c r="E24" s="14"/>
      <c r="F24" s="14"/>
      <c r="G24" s="14"/>
      <c r="H24" s="14"/>
      <c r="I24" s="14"/>
      <c r="J24" s="12">
        <f>7*1.8*0.88</f>
        <v>11.087999999999999</v>
      </c>
      <c r="K24" s="12">
        <f>73*0.7*0.76</f>
        <v>38.835999999999999</v>
      </c>
      <c r="L24" s="14">
        <f>24*0.83*0.6</f>
        <v>11.951999999999998</v>
      </c>
      <c r="M24" s="12">
        <f>15*1.3*2.8</f>
        <v>54.599999999999994</v>
      </c>
      <c r="N24" s="14">
        <f>12*0.79</f>
        <v>9.48</v>
      </c>
      <c r="O24" s="14">
        <f>6*0.77</f>
        <v>4.62</v>
      </c>
      <c r="P24" s="12"/>
      <c r="Q24" s="12"/>
      <c r="R24" s="12">
        <f>9*0.2*1.09</f>
        <v>1.9620000000000002</v>
      </c>
      <c r="S24" s="12">
        <f>1*0.49</f>
        <v>0.49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25"/>
      <c r="AF24" s="25"/>
      <c r="AG24" s="13">
        <f>SUM(C24:AF24)</f>
        <v>133.02799999999999</v>
      </c>
    </row>
    <row r="25" spans="1:33" ht="27.75" customHeight="1">
      <c r="A25" s="10" t="s">
        <v>21</v>
      </c>
      <c r="B25" s="11">
        <v>1245</v>
      </c>
      <c r="C25" s="12"/>
      <c r="D25" s="12">
        <f>27*0.8*0.6</f>
        <v>12.96</v>
      </c>
      <c r="E25" s="12"/>
      <c r="F25" s="12"/>
      <c r="G25" s="12"/>
      <c r="H25" s="12"/>
      <c r="I25" s="12">
        <f>33*0.9*0.65</f>
        <v>19.305</v>
      </c>
      <c r="J25" s="12">
        <f>11*1.8*0.88</f>
        <v>17.423999999999999</v>
      </c>
      <c r="K25" s="12">
        <f>68*0.7*0.76</f>
        <v>36.175999999999995</v>
      </c>
      <c r="L25" s="12">
        <f>22*0.83*0.6</f>
        <v>10.955999999999998</v>
      </c>
      <c r="M25" s="12">
        <f>7*1.3*2.8</f>
        <v>25.479999999999997</v>
      </c>
      <c r="N25" s="12"/>
      <c r="O25" s="12"/>
      <c r="P25" s="12"/>
      <c r="Q25" s="12"/>
      <c r="R25" s="12">
        <f>3*0.2*1.09</f>
        <v>0.65400000000000014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25"/>
      <c r="AF25" s="25"/>
      <c r="AG25" s="13">
        <f>SUM(C25:AF25)</f>
        <v>122.95499999999998</v>
      </c>
    </row>
    <row r="26" spans="1:33" ht="27.75" customHeight="1">
      <c r="A26" s="10" t="s">
        <v>61</v>
      </c>
      <c r="B26" s="11">
        <v>448</v>
      </c>
      <c r="C26" s="12"/>
      <c r="D26" s="12"/>
      <c r="E26" s="12"/>
      <c r="F26" s="12"/>
      <c r="G26" s="12"/>
      <c r="H26" s="12"/>
      <c r="I26" s="12"/>
      <c r="J26" s="12">
        <f>3*1.8*0.88</f>
        <v>4.7520000000000007</v>
      </c>
      <c r="K26" s="12">
        <f>15*0.7*0.76</f>
        <v>7.98</v>
      </c>
      <c r="L26" s="12">
        <f>15*0.83*0.6</f>
        <v>7.4699999999999989</v>
      </c>
      <c r="M26" s="12">
        <f>3*1.3*2.8</f>
        <v>10.92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25"/>
      <c r="AF26" s="25"/>
      <c r="AG26" s="13">
        <f>SUM(C26:AF26)</f>
        <v>31.122</v>
      </c>
    </row>
    <row r="27" spans="1:33" ht="27.75" customHeight="1">
      <c r="A27" s="10" t="s">
        <v>22</v>
      </c>
      <c r="B27" s="11">
        <v>1215</v>
      </c>
      <c r="C27" s="12"/>
      <c r="D27" s="12"/>
      <c r="E27" s="12"/>
      <c r="F27" s="12"/>
      <c r="G27" s="12"/>
      <c r="H27" s="12"/>
      <c r="I27" s="12"/>
      <c r="J27" s="12">
        <f>6*1.8*0.88</f>
        <v>9.5040000000000013</v>
      </c>
      <c r="K27" s="12">
        <f>32*0.7*0.76</f>
        <v>17.023999999999997</v>
      </c>
      <c r="L27" s="12">
        <f>23*0.83*0.6</f>
        <v>11.453999999999999</v>
      </c>
      <c r="M27" s="12">
        <f>5*1.3*2.8</f>
        <v>18.2</v>
      </c>
      <c r="N27" s="12"/>
      <c r="O27" s="12">
        <f>3*0.77</f>
        <v>2.31</v>
      </c>
      <c r="P27" s="12"/>
      <c r="Q27" s="12"/>
      <c r="R27" s="12">
        <f>3*0.2*1.09</f>
        <v>0.65400000000000014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25"/>
      <c r="AF27" s="25"/>
      <c r="AG27" s="13">
        <f>SUM(C27:AF27)</f>
        <v>59.146000000000008</v>
      </c>
    </row>
    <row r="28" spans="1:33" ht="27.75" customHeight="1">
      <c r="A28" s="10" t="s">
        <v>23</v>
      </c>
      <c r="B28" s="11">
        <v>1605</v>
      </c>
      <c r="C28" s="14"/>
      <c r="D28" s="14">
        <f>3*0.8*0.6</f>
        <v>1.4400000000000002</v>
      </c>
      <c r="E28" s="14"/>
      <c r="F28" s="14"/>
      <c r="G28" s="14"/>
      <c r="H28" s="14"/>
      <c r="I28" s="14">
        <f>44*0.9*0.65</f>
        <v>25.740000000000002</v>
      </c>
      <c r="J28" s="12">
        <f>10*1.8*0.88</f>
        <v>15.84</v>
      </c>
      <c r="K28" s="12">
        <f>72*0.7*0.76</f>
        <v>38.304000000000002</v>
      </c>
      <c r="L28" s="14">
        <f>43*0.83*0.6</f>
        <v>21.413999999999998</v>
      </c>
      <c r="M28" s="12">
        <f>10*1.3*2.8</f>
        <v>36.4</v>
      </c>
      <c r="N28" s="14"/>
      <c r="O28" s="14"/>
      <c r="P28" s="12">
        <f>4*0.82</f>
        <v>3.28</v>
      </c>
      <c r="Q28" s="12"/>
      <c r="R28" s="12">
        <f>9*0.2*1.09</f>
        <v>1.9620000000000002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5"/>
      <c r="AF28" s="25"/>
      <c r="AG28" s="13">
        <f>SUM(C28:AF28)</f>
        <v>144.38</v>
      </c>
    </row>
    <row r="29" spans="1:33" ht="27.75" customHeight="1">
      <c r="A29" s="10" t="s">
        <v>24</v>
      </c>
      <c r="B29" s="11">
        <v>1150</v>
      </c>
      <c r="C29" s="14"/>
      <c r="D29" s="14">
        <f>6*0.8*0.6</f>
        <v>2.8800000000000003</v>
      </c>
      <c r="E29" s="14"/>
      <c r="F29" s="14"/>
      <c r="G29" s="14"/>
      <c r="H29" s="14"/>
      <c r="I29" s="14">
        <f>28*0.9*0.65</f>
        <v>16.38</v>
      </c>
      <c r="J29" s="12">
        <f>8*1.8*0.88</f>
        <v>12.672000000000001</v>
      </c>
      <c r="K29" s="12">
        <f>44*0.7*0.76</f>
        <v>23.407999999999998</v>
      </c>
      <c r="L29" s="14">
        <f>6*0.83*0.6</f>
        <v>2.9879999999999995</v>
      </c>
      <c r="M29" s="12">
        <f>4*1.3*2.8</f>
        <v>14.559999999999999</v>
      </c>
      <c r="N29" s="14"/>
      <c r="O29" s="14"/>
      <c r="P29" s="12"/>
      <c r="Q29" s="12"/>
      <c r="R29" s="12"/>
      <c r="S29" s="12">
        <f>1*0.49</f>
        <v>0.49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5"/>
      <c r="AF29" s="25"/>
      <c r="AG29" s="13">
        <f>SUM(C29:AF29)</f>
        <v>73.377999999999986</v>
      </c>
    </row>
    <row r="30" spans="1:33" ht="27.75" customHeight="1">
      <c r="A30" s="10" t="s">
        <v>25</v>
      </c>
      <c r="B30" s="11">
        <v>2015</v>
      </c>
      <c r="C30" s="14"/>
      <c r="D30" s="14">
        <f>2*0.8*0.6</f>
        <v>0.96</v>
      </c>
      <c r="E30" s="14">
        <f>3*9*0.65</f>
        <v>17.55</v>
      </c>
      <c r="F30" s="14"/>
      <c r="G30" s="14"/>
      <c r="H30" s="14"/>
      <c r="I30" s="14">
        <f>32*0.9*0.65</f>
        <v>18.720000000000002</v>
      </c>
      <c r="J30" s="12">
        <f>11*1.8*0.88</f>
        <v>17.423999999999999</v>
      </c>
      <c r="K30" s="12">
        <f>100*0.7*0.76</f>
        <v>53.2</v>
      </c>
      <c r="L30" s="14">
        <f>73*0.83*0.6</f>
        <v>36.353999999999999</v>
      </c>
      <c r="M30" s="12">
        <f>13*1.3*2.8</f>
        <v>47.32</v>
      </c>
      <c r="N30" s="14"/>
      <c r="O30" s="14">
        <f>6*0.77</f>
        <v>4.62</v>
      </c>
      <c r="P30" s="12"/>
      <c r="Q30" s="12"/>
      <c r="R30" s="12">
        <f>6*0.2*1.09</f>
        <v>1.3080000000000003</v>
      </c>
      <c r="S30" s="12">
        <f>3*0.49</f>
        <v>1.47</v>
      </c>
      <c r="T30" s="12"/>
      <c r="U30" s="12"/>
      <c r="V30" s="12"/>
      <c r="W30" s="12"/>
      <c r="X30" s="12"/>
      <c r="Y30" s="12">
        <f>3*0.81</f>
        <v>2.4300000000000002</v>
      </c>
      <c r="Z30" s="12"/>
      <c r="AA30" s="12"/>
      <c r="AB30" s="12"/>
      <c r="AC30" s="12"/>
      <c r="AD30" s="12"/>
      <c r="AE30" s="25"/>
      <c r="AF30" s="25"/>
      <c r="AG30" s="13">
        <f>SUM(C30:AF30)</f>
        <v>201.35600000000002</v>
      </c>
    </row>
    <row r="31" spans="1:33" ht="27.75" customHeight="1">
      <c r="A31" s="10" t="s">
        <v>26</v>
      </c>
      <c r="B31" s="11">
        <v>932</v>
      </c>
      <c r="C31" s="12"/>
      <c r="D31" s="12"/>
      <c r="E31" s="12"/>
      <c r="F31" s="12"/>
      <c r="G31" s="12"/>
      <c r="H31" s="12"/>
      <c r="I31" s="12">
        <f>10*0.9*0.65</f>
        <v>5.8500000000000005</v>
      </c>
      <c r="J31" s="12">
        <f>5*1.8*0.88</f>
        <v>7.92</v>
      </c>
      <c r="K31" s="12">
        <f>29*0.7*0.76</f>
        <v>15.427999999999997</v>
      </c>
      <c r="L31" s="12">
        <f>26*0.83*0.6</f>
        <v>12.947999999999999</v>
      </c>
      <c r="M31" s="12">
        <f>6*1.3*2.8</f>
        <v>21.84</v>
      </c>
      <c r="N31" s="12"/>
      <c r="O31" s="12"/>
      <c r="P31" s="12"/>
      <c r="Q31" s="12"/>
      <c r="R31" s="12">
        <f>3*0.2*1.09</f>
        <v>0.65400000000000014</v>
      </c>
      <c r="S31" s="12">
        <f>1*0.49</f>
        <v>0.49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5"/>
      <c r="AF31" s="25"/>
      <c r="AG31" s="13">
        <f>SUM(C31:AF31)</f>
        <v>65.129999999999981</v>
      </c>
    </row>
    <row r="32" spans="1:33" ht="27.75" customHeight="1">
      <c r="A32" s="10" t="s">
        <v>27</v>
      </c>
      <c r="B32" s="11">
        <v>1095</v>
      </c>
      <c r="C32" s="14"/>
      <c r="D32" s="14"/>
      <c r="E32" s="14"/>
      <c r="F32" s="14"/>
      <c r="G32" s="14"/>
      <c r="H32" s="14"/>
      <c r="I32" s="14"/>
      <c r="J32" s="12">
        <f>9*1.8*0.88</f>
        <v>14.256</v>
      </c>
      <c r="K32" s="12">
        <f>21*0.7*0.76</f>
        <v>11.171999999999999</v>
      </c>
      <c r="L32" s="14"/>
      <c r="M32" s="12">
        <f>3*1.3*2.8</f>
        <v>10.92</v>
      </c>
      <c r="N32" s="14"/>
      <c r="O32" s="14"/>
      <c r="P32" s="12"/>
      <c r="Q32" s="12"/>
      <c r="R32" s="12">
        <f>2*0.2*1.09</f>
        <v>0.43600000000000005</v>
      </c>
      <c r="S32" s="12">
        <f>1*0.49</f>
        <v>0.49</v>
      </c>
      <c r="T32" s="12"/>
      <c r="U32" s="12"/>
      <c r="V32" s="12"/>
      <c r="W32" s="12"/>
      <c r="X32" s="12">
        <f>9*1.02</f>
        <v>9.18</v>
      </c>
      <c r="Y32" s="12"/>
      <c r="Z32" s="12"/>
      <c r="AA32" s="12"/>
      <c r="AB32" s="12"/>
      <c r="AC32" s="12"/>
      <c r="AD32" s="12"/>
      <c r="AE32" s="25"/>
      <c r="AF32" s="25"/>
      <c r="AG32" s="13">
        <f>SUM(C32:AF32)</f>
        <v>46.454000000000001</v>
      </c>
    </row>
    <row r="33" spans="1:33" ht="27.75" customHeight="1">
      <c r="A33" s="10" t="s">
        <v>28</v>
      </c>
      <c r="B33" s="11">
        <v>1130</v>
      </c>
      <c r="C33" s="14"/>
      <c r="D33" s="14">
        <f>29*0.8*0.6</f>
        <v>13.920000000000002</v>
      </c>
      <c r="E33" s="14"/>
      <c r="F33" s="14"/>
      <c r="G33" s="14"/>
      <c r="H33" s="14"/>
      <c r="I33" s="14">
        <f>13*0.9*0.65</f>
        <v>7.6050000000000013</v>
      </c>
      <c r="J33" s="12">
        <f>3*1.8*0.88</f>
        <v>4.7520000000000007</v>
      </c>
      <c r="K33" s="12">
        <f>36*0.7*0.76</f>
        <v>19.152000000000001</v>
      </c>
      <c r="L33" s="14">
        <f>21*0.83*0.6</f>
        <v>10.458</v>
      </c>
      <c r="M33" s="12">
        <f>8*1.3*2.8</f>
        <v>29.119999999999997</v>
      </c>
      <c r="N33" s="14"/>
      <c r="O33" s="14">
        <f>3*0.77</f>
        <v>2.31</v>
      </c>
      <c r="P33" s="12"/>
      <c r="Q33" s="12"/>
      <c r="R33" s="12">
        <f>3*0.2*1.09</f>
        <v>0.65400000000000014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5"/>
      <c r="AF33" s="25"/>
      <c r="AG33" s="13">
        <f>SUM(C33:AF33)</f>
        <v>87.971000000000004</v>
      </c>
    </row>
    <row r="34" spans="1:33" ht="27.75" customHeight="1" thickBot="1">
      <c r="A34" s="15" t="s">
        <v>29</v>
      </c>
      <c r="B34" s="16">
        <v>695</v>
      </c>
      <c r="C34" s="19"/>
      <c r="D34" s="19"/>
      <c r="E34" s="19"/>
      <c r="F34" s="19"/>
      <c r="G34" s="19"/>
      <c r="H34" s="19"/>
      <c r="I34" s="19"/>
      <c r="J34" s="12">
        <f>2*1.8*0.88</f>
        <v>3.1680000000000001</v>
      </c>
      <c r="K34" s="12">
        <f>38*0.7*0.76</f>
        <v>20.215999999999998</v>
      </c>
      <c r="L34" s="19"/>
      <c r="M34" s="12">
        <f>11*1.3*2.8</f>
        <v>40.04</v>
      </c>
      <c r="N34" s="19"/>
      <c r="O34" s="19">
        <f>12*0.77</f>
        <v>9.24</v>
      </c>
      <c r="P34" s="21"/>
      <c r="Q34" s="21">
        <f>1*8*0.62</f>
        <v>4.96</v>
      </c>
      <c r="R34" s="12">
        <f>1*0.2*1.09</f>
        <v>0.21800000000000003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6"/>
      <c r="AF34" s="26"/>
      <c r="AG34" s="13">
        <f>SUM(C34:AF34)</f>
        <v>77.841999999999985</v>
      </c>
    </row>
    <row r="35" spans="1:33" ht="27.75" customHeight="1" thickBot="1">
      <c r="A35" s="17" t="s">
        <v>66</v>
      </c>
      <c r="B35" s="18">
        <f>SUM(B4:B34)</f>
        <v>50009</v>
      </c>
      <c r="C35" s="20">
        <f>SUM(C4:C34)</f>
        <v>40.32</v>
      </c>
      <c r="D35" s="20">
        <f>SUM(D4:D34)</f>
        <v>227.03999999999996</v>
      </c>
      <c r="E35" s="20">
        <f>SUM(E4:E34)</f>
        <v>111.15</v>
      </c>
      <c r="F35" s="20">
        <f t="shared" ref="F35:AF35" si="0">SUM(F4:F34)</f>
        <v>5.85</v>
      </c>
      <c r="G35" s="20">
        <f t="shared" si="0"/>
        <v>192</v>
      </c>
      <c r="H35" s="20">
        <f t="shared" si="0"/>
        <v>5.07</v>
      </c>
      <c r="I35" s="20">
        <f t="shared" si="0"/>
        <v>231.65999999999997</v>
      </c>
      <c r="J35" s="20">
        <f t="shared" si="0"/>
        <v>564.91199999999992</v>
      </c>
      <c r="K35" s="20">
        <f t="shared" si="0"/>
        <v>1152.8440000000001</v>
      </c>
      <c r="L35" s="20">
        <f t="shared" si="0"/>
        <v>564.73199999999997</v>
      </c>
      <c r="M35" s="20">
        <f t="shared" si="0"/>
        <v>1954.6799999999996</v>
      </c>
      <c r="N35" s="20">
        <f t="shared" si="0"/>
        <v>85.320000000000007</v>
      </c>
      <c r="O35" s="20">
        <f t="shared" si="0"/>
        <v>67.760000000000005</v>
      </c>
      <c r="P35" s="20">
        <f t="shared" si="0"/>
        <v>6.56</v>
      </c>
      <c r="Q35" s="20">
        <f t="shared" si="0"/>
        <v>109.11999999999996</v>
      </c>
      <c r="R35" s="20">
        <f t="shared" si="0"/>
        <v>50.140000000000043</v>
      </c>
      <c r="S35" s="20">
        <f t="shared" si="0"/>
        <v>192.08000000000007</v>
      </c>
      <c r="T35" s="20">
        <f t="shared" si="0"/>
        <v>9.84</v>
      </c>
      <c r="U35" s="20">
        <f t="shared" si="0"/>
        <v>69</v>
      </c>
      <c r="V35" s="20">
        <f t="shared" si="0"/>
        <v>3.12</v>
      </c>
      <c r="W35" s="20">
        <f t="shared" si="0"/>
        <v>8.8071999999999999</v>
      </c>
      <c r="X35" s="20">
        <f t="shared" si="0"/>
        <v>10.199999999999999</v>
      </c>
      <c r="Y35" s="20">
        <f t="shared" si="0"/>
        <v>2.4300000000000002</v>
      </c>
      <c r="Z35" s="20">
        <f t="shared" si="0"/>
        <v>31.200000000000003</v>
      </c>
      <c r="AA35" s="20">
        <f t="shared" si="0"/>
        <v>12.48</v>
      </c>
      <c r="AB35" s="20">
        <f t="shared" si="0"/>
        <v>22.5</v>
      </c>
      <c r="AC35" s="20">
        <f t="shared" si="0"/>
        <v>12.16</v>
      </c>
      <c r="AD35" s="20">
        <f t="shared" si="0"/>
        <v>10.382400000000001</v>
      </c>
      <c r="AE35" s="20">
        <f t="shared" si="0"/>
        <v>28.34</v>
      </c>
      <c r="AF35" s="20">
        <f t="shared" si="0"/>
        <v>24.82</v>
      </c>
      <c r="AG35" s="20">
        <f>SUM(C35:AD35)</f>
        <v>5753.3576000000003</v>
      </c>
    </row>
    <row r="38" spans="1:33">
      <c r="A38" s="5" t="s">
        <v>67</v>
      </c>
      <c r="B38" s="5">
        <f>AG35/B35</f>
        <v>0.11504644364014478</v>
      </c>
    </row>
  </sheetData>
  <pageMargins left="0" right="0" top="0" bottom="0" header="0" footer="0"/>
  <pageSetup paperSize="9" scale="53" orientation="landscape" r:id="rId1"/>
  <colBreaks count="1" manualBreakCount="1">
    <brk id="15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2"/>
  <sheetViews>
    <sheetView rightToLeft="1" topLeftCell="A21" zoomScale="70" zoomScaleNormal="70" workbookViewId="0">
      <selection activeCell="E24" sqref="E24"/>
    </sheetView>
  </sheetViews>
  <sheetFormatPr defaultColWidth="9" defaultRowHeight="21"/>
  <cols>
    <col min="1" max="1" width="9" style="5"/>
    <col min="2" max="2" width="73.7109375" style="5" bestFit="1" customWidth="1"/>
    <col min="3" max="3" width="13" style="5" bestFit="1" customWidth="1"/>
    <col min="4" max="4" width="16.85546875" style="5" customWidth="1"/>
    <col min="5" max="5" width="16.28515625" style="5" bestFit="1" customWidth="1"/>
    <col min="6" max="9" width="9" style="5"/>
    <col min="10" max="10" width="16.42578125" style="5" bestFit="1" customWidth="1"/>
    <col min="11" max="11" width="12" style="5" bestFit="1" customWidth="1"/>
    <col min="12" max="12" width="11.7109375" style="5" bestFit="1" customWidth="1"/>
    <col min="13" max="13" width="12" style="5" bestFit="1" customWidth="1"/>
    <col min="14" max="16" width="9" style="5"/>
    <col min="17" max="17" width="16.7109375" style="5" bestFit="1" customWidth="1"/>
    <col min="18" max="23" width="9" style="5"/>
    <col min="24" max="24" width="16.42578125" style="5" bestFit="1" customWidth="1"/>
    <col min="25" max="16384" width="9" style="5"/>
  </cols>
  <sheetData>
    <row r="1" spans="1:3" ht="26.25">
      <c r="A1" s="8" t="s">
        <v>33</v>
      </c>
      <c r="B1" s="8" t="s">
        <v>58</v>
      </c>
      <c r="C1" s="8" t="s">
        <v>69</v>
      </c>
    </row>
    <row r="2" spans="1:3" ht="26.25">
      <c r="A2" s="12">
        <v>1</v>
      </c>
      <c r="B2" s="12" t="s">
        <v>30</v>
      </c>
      <c r="C2" s="12">
        <f>سهمیه!C35</f>
        <v>176.52259764643313</v>
      </c>
    </row>
    <row r="3" spans="1:3" ht="26.25">
      <c r="A3" s="12">
        <v>2</v>
      </c>
      <c r="B3" s="12" t="s">
        <v>34</v>
      </c>
      <c r="C3" s="12">
        <f>سهمیه!D35</f>
        <v>1978.4388011397209</v>
      </c>
    </row>
    <row r="4" spans="1:3" ht="26.25">
      <c r="A4" s="12">
        <v>3</v>
      </c>
      <c r="B4" s="12" t="s">
        <v>35</v>
      </c>
      <c r="C4" s="12">
        <f>سهمیه!E35</f>
        <v>779.09218757033159</v>
      </c>
    </row>
    <row r="5" spans="1:3" ht="26.25">
      <c r="A5" s="12">
        <v>4</v>
      </c>
      <c r="B5" s="12" t="s">
        <v>31</v>
      </c>
      <c r="C5" s="12">
        <f>سهمیه!F35</f>
        <v>47.882184545289597</v>
      </c>
    </row>
    <row r="6" spans="1:3" ht="26.25">
      <c r="A6" s="12">
        <v>5</v>
      </c>
      <c r="B6" s="12" t="s">
        <v>36</v>
      </c>
      <c r="C6" s="12">
        <f>سهمیه!G35</f>
        <v>798.21664089209332</v>
      </c>
    </row>
    <row r="7" spans="1:3" ht="26.25">
      <c r="A7" s="12">
        <v>7</v>
      </c>
      <c r="B7" s="12" t="s">
        <v>37</v>
      </c>
      <c r="C7" s="12">
        <f>سهمیه!H35</f>
        <v>49.151177502698644</v>
      </c>
    </row>
    <row r="8" spans="1:3" ht="26.25">
      <c r="A8" s="12">
        <v>8</v>
      </c>
      <c r="B8" s="12" t="s">
        <v>38</v>
      </c>
      <c r="C8" s="12">
        <f>سهمیه!I35</f>
        <v>2042.8362783935643</v>
      </c>
    </row>
    <row r="9" spans="1:3" ht="26.25">
      <c r="A9" s="12">
        <v>9</v>
      </c>
      <c r="B9" s="12" t="s">
        <v>39</v>
      </c>
      <c r="C9" s="12">
        <f>سهمیه!J35</f>
        <v>4839.9218377468205</v>
      </c>
    </row>
    <row r="10" spans="1:3" ht="26.25">
      <c r="A10" s="12">
        <v>10</v>
      </c>
      <c r="B10" s="12" t="s">
        <v>40</v>
      </c>
      <c r="C10" s="12">
        <f>سهمیه!K35</f>
        <v>12800.486192814968</v>
      </c>
    </row>
    <row r="11" spans="1:3" ht="26.25">
      <c r="A11" s="12">
        <v>11</v>
      </c>
      <c r="B11" s="12" t="s">
        <v>41</v>
      </c>
      <c r="C11" s="12">
        <f>سهمیه!L35</f>
        <v>5114.162284246524</v>
      </c>
    </row>
    <row r="12" spans="1:3" ht="26.25">
      <c r="A12" s="12">
        <v>12</v>
      </c>
      <c r="B12" s="12" t="s">
        <v>42</v>
      </c>
      <c r="C12" s="12">
        <f>سهمیه!M35</f>
        <v>14724.023211112846</v>
      </c>
    </row>
    <row r="13" spans="1:3" ht="26.25">
      <c r="A13" s="12">
        <v>13</v>
      </c>
      <c r="B13" s="12" t="s">
        <v>43</v>
      </c>
      <c r="C13" s="12">
        <f>سهمیه!N35</f>
        <v>465.12052427561542</v>
      </c>
    </row>
    <row r="14" spans="1:3" ht="26.25">
      <c r="A14" s="12">
        <v>14</v>
      </c>
      <c r="B14" s="12" t="s">
        <v>44</v>
      </c>
      <c r="C14" s="12">
        <f>سهمیه!O35</f>
        <v>747.86814285497633</v>
      </c>
    </row>
    <row r="15" spans="1:3" ht="26.25">
      <c r="A15" s="12">
        <v>15</v>
      </c>
      <c r="B15" s="12" t="s">
        <v>32</v>
      </c>
      <c r="C15" s="12">
        <f>سهمیه!P35</f>
        <v>50.098314814759718</v>
      </c>
    </row>
    <row r="16" spans="1:3" ht="26.25">
      <c r="A16" s="12">
        <v>16</v>
      </c>
      <c r="B16" s="12" t="s">
        <v>45</v>
      </c>
      <c r="C16" s="12">
        <f>سهمیه!Q35</f>
        <v>770.93738090615454</v>
      </c>
    </row>
    <row r="17" spans="1:3" ht="26.25">
      <c r="A17" s="12">
        <v>17</v>
      </c>
      <c r="B17" s="12" t="s">
        <v>46</v>
      </c>
      <c r="C17" s="12">
        <f>سهمیه!R35</f>
        <v>479.81024742993031</v>
      </c>
    </row>
    <row r="18" spans="1:3" ht="26.25">
      <c r="A18" s="12">
        <v>18</v>
      </c>
      <c r="B18" s="12" t="s">
        <v>47</v>
      </c>
      <c r="C18" s="12">
        <f>سهمیه!S35</f>
        <v>861.21836957597691</v>
      </c>
    </row>
    <row r="19" spans="1:3" ht="26.25">
      <c r="A19" s="12">
        <v>19</v>
      </c>
      <c r="B19" s="12" t="s">
        <v>48</v>
      </c>
      <c r="C19" s="12">
        <f>سهمیه!T35</f>
        <v>85.848891990926532</v>
      </c>
    </row>
    <row r="20" spans="1:3" ht="26.25">
      <c r="A20" s="12">
        <v>20</v>
      </c>
      <c r="B20" s="12" t="s">
        <v>49</v>
      </c>
      <c r="C20" s="12">
        <f>سهمیه!U35</f>
        <v>299.03966308006926</v>
      </c>
    </row>
    <row r="21" spans="1:3" ht="26.25">
      <c r="A21" s="12">
        <v>21</v>
      </c>
      <c r="B21" s="12" t="s">
        <v>50</v>
      </c>
      <c r="C21" s="12">
        <f>سهمیه!V35</f>
        <v>51.332278519627259</v>
      </c>
    </row>
    <row r="22" spans="1:3" ht="26.25">
      <c r="A22" s="12">
        <v>22</v>
      </c>
      <c r="B22" s="12" t="s">
        <v>51</v>
      </c>
      <c r="C22" s="12">
        <f>سهمیه!W35</f>
        <v>231.98254027570175</v>
      </c>
    </row>
    <row r="23" spans="1:3" ht="26.25">
      <c r="A23" s="12">
        <v>23</v>
      </c>
      <c r="B23" s="12" t="s">
        <v>59</v>
      </c>
      <c r="C23" s="12">
        <f>سهمیه!X35</f>
        <v>233.00027573106132</v>
      </c>
    </row>
    <row r="24" spans="1:3" ht="26.25">
      <c r="A24" s="12">
        <v>24</v>
      </c>
      <c r="B24" s="12" t="s">
        <v>52</v>
      </c>
      <c r="C24" s="12">
        <f>سهمیه!Y35</f>
        <v>24.317378175966944</v>
      </c>
    </row>
    <row r="25" spans="1:3" ht="26.25">
      <c r="A25" s="12">
        <v>25</v>
      </c>
      <c r="B25" s="12" t="s">
        <v>53</v>
      </c>
      <c r="C25" s="12">
        <f>سهمیه!Z35</f>
        <v>513.32278519627266</v>
      </c>
    </row>
    <row r="26" spans="1:3" ht="26.25">
      <c r="A26" s="12">
        <v>26</v>
      </c>
      <c r="B26" s="12" t="s">
        <v>54</v>
      </c>
      <c r="C26" s="12">
        <f>سهمیه!AA35</f>
        <v>147.20512716385289</v>
      </c>
    </row>
    <row r="27" spans="1:3" ht="26.25">
      <c r="A27" s="12">
        <v>28</v>
      </c>
      <c r="B27" s="12" t="s">
        <v>55</v>
      </c>
      <c r="C27" s="12">
        <f>سهمیه!AB35</f>
        <v>145.62217476117783</v>
      </c>
    </row>
    <row r="28" spans="1:3" ht="26.25">
      <c r="A28" s="12">
        <v>29</v>
      </c>
      <c r="B28" s="12" t="s">
        <v>56</v>
      </c>
      <c r="C28" s="12">
        <f>سهمیه!AC35</f>
        <v>143.43063672375408</v>
      </c>
    </row>
    <row r="29" spans="1:3" ht="26.25">
      <c r="A29" s="12">
        <v>30</v>
      </c>
      <c r="B29" s="12" t="s">
        <v>57</v>
      </c>
      <c r="C29" s="12">
        <f>سهمیه!AD35</f>
        <v>90.581050427499562</v>
      </c>
    </row>
    <row r="30" spans="1:3" ht="26.25">
      <c r="A30" s="12">
        <v>31</v>
      </c>
      <c r="B30" s="27" t="s">
        <v>71</v>
      </c>
      <c r="C30" s="12">
        <f>سهمیه!AE35</f>
        <v>146.8331409353566</v>
      </c>
    </row>
    <row r="31" spans="1:3" ht="26.25">
      <c r="A31" s="12">
        <v>32</v>
      </c>
      <c r="B31" s="27" t="s">
        <v>72</v>
      </c>
      <c r="C31" s="12">
        <f>سهمیه!AF35</f>
        <v>141.84616149828747</v>
      </c>
    </row>
    <row r="32" spans="1:3" ht="26.25">
      <c r="A32" s="28" t="s">
        <v>70</v>
      </c>
      <c r="B32" s="29"/>
      <c r="C32" s="22">
        <f>SUM(C2:C31)</f>
        <v>48980.148477948263</v>
      </c>
    </row>
  </sheetData>
  <mergeCells count="1">
    <mergeCell ref="A32:B32"/>
  </mergeCells>
  <pageMargins left="0.70866141732283461" right="0.70866141732283461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سهمیه</vt:lpstr>
      <vt:lpstr>تعداد شعب</vt:lpstr>
      <vt:lpstr>برند</vt:lpstr>
      <vt:lpstr>'تعداد شعب'!Print_Area</vt:lpstr>
      <vt:lpstr>سهمیه!Print_Area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Mohammadi</dc:creator>
  <cp:lastModifiedBy>m</cp:lastModifiedBy>
  <cp:lastPrinted>2021-04-13T09:43:40Z</cp:lastPrinted>
  <dcterms:created xsi:type="dcterms:W3CDTF">2015-06-05T18:17:20Z</dcterms:created>
  <dcterms:modified xsi:type="dcterms:W3CDTF">2021-04-24T12:35:56Z</dcterms:modified>
</cp:coreProperties>
</file>